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0" yWindow="630" windowWidth="8610" windowHeight="11520" tabRatio="932" activeTab="6"/>
  </bookViews>
  <sheets>
    <sheet name="Экспресс-выбор" sheetId="1" r:id="rId1"/>
    <sheet name="АБ-Максимум" sheetId="2" r:id="rId2"/>
    <sheet name="АБ-Льготный" sheetId="3" r:id="rId3"/>
    <sheet name="АБ-Статус" sheetId="4" r:id="rId4"/>
    <sheet name="Авто с субсидированием" sheetId="5" r:id="rId5"/>
    <sheet name="Перечень авто" sheetId="6" r:id="rId6"/>
    <sheet name="АБ-Профи" sheetId="7" r:id="rId7"/>
    <sheet name="АБ-Круиз" sheetId="8" r:id="rId8"/>
    <sheet name="Условия программ" sheetId="9" r:id="rId9"/>
  </sheets>
  <definedNames>
    <definedName name="_xlnm.Print_Area" localSheetId="7">'АБ-Круиз'!$A$1:$Q$39</definedName>
    <definedName name="_xlnm.Print_Area" localSheetId="2">'АБ-Льготный'!$A$1:$Q$39</definedName>
    <definedName name="_xlnm.Print_Area" localSheetId="1">'АБ-Максимум'!$A$1:$Q$39</definedName>
    <definedName name="_xlnm.Print_Area" localSheetId="6">'АБ-Профи'!$A$1:$Q$39</definedName>
    <definedName name="_xlnm.Print_Area" localSheetId="3">'АБ-Статус'!$A$1:$Q$40</definedName>
    <definedName name="_xlnm.Print_Area" localSheetId="0">'Экспресс-выбор'!$A$1:$H$31</definedName>
  </definedNames>
  <calcPr fullCalcOnLoad="1"/>
</workbook>
</file>

<file path=xl/sharedStrings.xml><?xml version="1.0" encoding="utf-8"?>
<sst xmlns="http://schemas.openxmlformats.org/spreadsheetml/2006/main" count="1092" uniqueCount="285">
  <si>
    <t>Программа</t>
  </si>
  <si>
    <t>Возможность кредитования</t>
  </si>
  <si>
    <t>Причина отказа</t>
  </si>
  <si>
    <t>Категория транспортного средства</t>
  </si>
  <si>
    <t>Вид транспортного средства</t>
  </si>
  <si>
    <t>Валюта кредита</t>
  </si>
  <si>
    <t>Новые</t>
  </si>
  <si>
    <t>Подержанные</t>
  </si>
  <si>
    <t>Рубли</t>
  </si>
  <si>
    <t>Сведения о транспортном средстве</t>
  </si>
  <si>
    <t>Сведения о кредите</t>
  </si>
  <si>
    <t>Стоимость транспортного средства</t>
  </si>
  <si>
    <t>Стоимость дополнительного оборудования</t>
  </si>
  <si>
    <t>"АК БАРС - Максимум"</t>
  </si>
  <si>
    <t>"АК БАРС - Профи"</t>
  </si>
  <si>
    <t>"АК БАРС - Круиз"</t>
  </si>
  <si>
    <t>Включить в сумму кредита:</t>
  </si>
  <si>
    <t>Минимум по условиям программы</t>
  </si>
  <si>
    <t>Имеющиеся средства у заемщика</t>
  </si>
  <si>
    <t>Совокупная стоимость ТС:</t>
  </si>
  <si>
    <t>Первоначальный взнос:</t>
  </si>
  <si>
    <t>АБ-Максимум</t>
  </si>
  <si>
    <r>
      <t xml:space="preserve">Срок кредита </t>
    </r>
    <r>
      <rPr>
        <sz val="10"/>
        <rFont val="Times New Roman"/>
        <family val="1"/>
      </rPr>
      <t>(лет)</t>
    </r>
  </si>
  <si>
    <r>
      <t xml:space="preserve">Первоначальный взнос </t>
    </r>
    <r>
      <rPr>
        <sz val="10"/>
        <rFont val="Times New Roman"/>
        <family val="1"/>
      </rPr>
      <t>(в %)</t>
    </r>
  </si>
  <si>
    <t>Справочно:</t>
  </si>
  <si>
    <t xml:space="preserve">- Автомобили, предназначенные для перевозки пассажиров и имеющие более 8 сидячих мест,  помимо сиденья водителя (Категория «D» по классификации Конвенции о дорожном движении)                                                                                              - Автомобили, за исключением относящихся к категории D, разрешенная масса которых превышает 3,5 т (Категория «С» по классификации Конвенции о дорожном движении)                                                                                                                               - Спецтехника                                                                                                                                        - Прицепы, полуприцепы </t>
  </si>
  <si>
    <t>1-5</t>
  </si>
  <si>
    <t>1-7</t>
  </si>
  <si>
    <t>пд</t>
  </si>
  <si>
    <t>-</t>
  </si>
  <si>
    <t>рубли</t>
  </si>
  <si>
    <t>1-3</t>
  </si>
  <si>
    <t>Ин.валюта</t>
  </si>
  <si>
    <t>Новые ТС</t>
  </si>
  <si>
    <t>Подержанные ТС</t>
  </si>
  <si>
    <t>доллары США</t>
  </si>
  <si>
    <t>евро</t>
  </si>
  <si>
    <t>Доллары США</t>
  </si>
  <si>
    <t>Доллары США/ Евро</t>
  </si>
  <si>
    <t>Нет</t>
  </si>
  <si>
    <t>Да</t>
  </si>
  <si>
    <t>Новый</t>
  </si>
  <si>
    <t>Подержанный</t>
  </si>
  <si>
    <t>Сумма кредита</t>
  </si>
  <si>
    <t>Внимание:</t>
  </si>
  <si>
    <t>мин/макс</t>
  </si>
  <si>
    <t>Комиссия</t>
  </si>
  <si>
    <t>расчет</t>
  </si>
  <si>
    <t>р.</t>
  </si>
  <si>
    <t>дол.</t>
  </si>
  <si>
    <t>от</t>
  </si>
  <si>
    <t>Ставка</t>
  </si>
  <si>
    <t>дол/евро</t>
  </si>
  <si>
    <t>Макс.сумма</t>
  </si>
  <si>
    <t>Город</t>
  </si>
  <si>
    <t>Сельский населенный пункт</t>
  </si>
  <si>
    <t>Стоимость доп.оборудования</t>
  </si>
  <si>
    <t>Исходные данные:</t>
  </si>
  <si>
    <t>Евро</t>
  </si>
  <si>
    <t>комиссия2</t>
  </si>
  <si>
    <t>р</t>
  </si>
  <si>
    <t>Мин.доход</t>
  </si>
  <si>
    <t>Сноски</t>
  </si>
  <si>
    <t>мин</t>
  </si>
  <si>
    <t xml:space="preserve">       ПВ   Срок</t>
  </si>
  <si>
    <t xml:space="preserve">      ПВ   Срок</t>
  </si>
  <si>
    <t xml:space="preserve">          ПВ   Срок</t>
  </si>
  <si>
    <t>АБ-Профи</t>
  </si>
  <si>
    <t>АБ-Круиз</t>
  </si>
  <si>
    <t>комиссия</t>
  </si>
  <si>
    <t>Наличие документов, подтверждающих доход</t>
  </si>
  <si>
    <t>Р Е З У Л Ь Т А Т</t>
  </si>
  <si>
    <t>Мототехника, водные виды транспорта</t>
  </si>
  <si>
    <t>Категория "D","С" (Грузовые, спецтехника, прицепы)</t>
  </si>
  <si>
    <t>Легковой</t>
  </si>
  <si>
    <t>Грузовой</t>
  </si>
  <si>
    <t>легк</t>
  </si>
  <si>
    <t>груз</t>
  </si>
  <si>
    <t>- Мотоциклы, мотороллеры и другие мототранспортные средства 
(Категория «А» по классификации Конвенции о дорожном движении)                                                                                                       - Внедорожные мотосредства (снегоходы, квадроциклы и т.д.)                                                                                                                  - Водные виды транспорта, регистрируемые в ГИМС</t>
  </si>
  <si>
    <t>новые</t>
  </si>
  <si>
    <t>подержанные</t>
  </si>
  <si>
    <t>мес.</t>
  </si>
  <si>
    <t>руб.</t>
  </si>
  <si>
    <r>
      <t xml:space="preserve">Стоимость страхового взноса </t>
    </r>
    <r>
      <rPr>
        <sz val="11"/>
        <rFont val="Times New Roman"/>
        <family val="1"/>
      </rPr>
      <t>(в %)</t>
    </r>
  </si>
  <si>
    <r>
      <t>1</t>
    </r>
    <r>
      <rPr>
        <sz val="12"/>
        <rFont val="Times New Roman"/>
        <family val="1"/>
      </rPr>
      <t xml:space="preserve"> Все расчеты являются предварительными. Более точные данные и полную стоимость кредита Вы можете получить в подразделении Банка.</t>
    </r>
  </si>
  <si>
    <r>
      <t xml:space="preserve">Срок кредита </t>
    </r>
    <r>
      <rPr>
        <sz val="12"/>
        <rFont val="Times New Roman"/>
        <family val="1"/>
      </rPr>
      <t>(месяцев)</t>
    </r>
  </si>
  <si>
    <r>
      <t xml:space="preserve">1 </t>
    </r>
    <r>
      <rPr>
        <sz val="12"/>
        <rFont val="Times New Roman"/>
        <family val="1"/>
      </rPr>
      <t>Все расчеты являются предварительными. Более точные данные и полную стоимость кредита  Вы можете получить в подразделении Банка.</t>
    </r>
  </si>
  <si>
    <t>Стоимость страхового взноса (в %)</t>
  </si>
  <si>
    <t>Кредитование легковых автомобилей отечественного и иностранного производства</t>
  </si>
  <si>
    <t>Кредитование грузового вида транспорта, спецтехники, прицепов и полуприцепов отечественного и иностранного производства</t>
  </si>
  <si>
    <r>
      <t xml:space="preserve">1 </t>
    </r>
    <r>
      <rPr>
        <sz val="12"/>
        <rFont val="Times New Roman"/>
        <family val="1"/>
      </rPr>
      <t>Все расчеты являются предварительными. Более точные данные и полную стоимость кредита Вы можете получить в подразделении Банка.</t>
    </r>
  </si>
  <si>
    <t>Кредитование водного вида транспорта, мотоциклов, внедорожных мотосредств отечественного и иностранного производства</t>
  </si>
  <si>
    <t>Минимальная сумма кредита:</t>
  </si>
  <si>
    <t>Не взимается</t>
  </si>
  <si>
    <t>Категория "В" (Легковые автомобили)</t>
  </si>
  <si>
    <t>1-3 (вкл.)</t>
  </si>
  <si>
    <t>3-5</t>
  </si>
  <si>
    <t xml:space="preserve">- Автомобили, разрешенная максимальная масса которых не превышает 3,5 тонн и число сидячих мест, которых, помимо сиденья водителя, не превышает 8 (Категория «В» по классификации Конвенции о дорожном движении)                                                                                                                  </t>
  </si>
  <si>
    <t>АБ-Максимум со страхованием жизни и потери трудоспособности</t>
  </si>
  <si>
    <t xml:space="preserve">доллары </t>
  </si>
  <si>
    <t>Максимальная сумма кредита:</t>
  </si>
  <si>
    <t>АБ-Профи со страхованием жизни и потери трудоспособности</t>
  </si>
  <si>
    <t>АБ-Круиз со страхованием жизни и потери трудоспособности</t>
  </si>
  <si>
    <t>Страховая премия за весь срок кредита</t>
  </si>
  <si>
    <t>Итоговая сумма кредита</t>
  </si>
  <si>
    <t>Ежемесячный платеж (аннуитетный)</t>
  </si>
  <si>
    <t>Комиссия за выдачу кредита</t>
  </si>
  <si>
    <t>Проценты за весь срок кредита</t>
  </si>
  <si>
    <r>
      <t>Результат со страхованием жизни и потери трудоспособности:</t>
    </r>
    <r>
      <rPr>
        <b/>
        <i/>
        <vertAlign val="superscript"/>
        <sz val="12"/>
        <color indexed="17"/>
        <rFont val="Times New Roman"/>
        <family val="1"/>
      </rPr>
      <t>1</t>
    </r>
  </si>
  <si>
    <r>
      <t>Результат без страхования жизни и потери трудоспособности:</t>
    </r>
    <r>
      <rPr>
        <b/>
        <i/>
        <vertAlign val="superscript"/>
        <sz val="12"/>
        <color indexed="17"/>
        <rFont val="Times New Roman"/>
        <family val="1"/>
      </rPr>
      <t>1</t>
    </r>
  </si>
  <si>
    <r>
      <t xml:space="preserve">Процентная ставка </t>
    </r>
    <r>
      <rPr>
        <sz val="14"/>
        <rFont val="Times New Roman"/>
        <family val="1"/>
      </rPr>
      <t>(годовых)</t>
    </r>
  </si>
  <si>
    <r>
      <t>Результат со страхованием жизни и потери трудоспособности:</t>
    </r>
    <r>
      <rPr>
        <b/>
        <i/>
        <vertAlign val="superscript"/>
        <sz val="12"/>
        <color indexed="12"/>
        <rFont val="Times New Roman"/>
        <family val="1"/>
      </rPr>
      <t>1</t>
    </r>
  </si>
  <si>
    <r>
      <t>Результат без страхования жизни и потери трудоспособности:</t>
    </r>
    <r>
      <rPr>
        <b/>
        <i/>
        <vertAlign val="superscript"/>
        <sz val="12"/>
        <color indexed="12"/>
        <rFont val="Times New Roman"/>
        <family val="1"/>
      </rPr>
      <t>1</t>
    </r>
  </si>
  <si>
    <r>
      <t>Результат без страхования жизни и потери трудоспособности:</t>
    </r>
    <r>
      <rPr>
        <b/>
        <i/>
        <vertAlign val="superscript"/>
        <sz val="12"/>
        <color indexed="16"/>
        <rFont val="Times New Roman"/>
        <family val="1"/>
      </rPr>
      <t>1</t>
    </r>
  </si>
  <si>
    <r>
      <t>Результат со страхованием жизни и потери трудоспособности:</t>
    </r>
    <r>
      <rPr>
        <b/>
        <i/>
        <vertAlign val="superscript"/>
        <sz val="12"/>
        <color indexed="16"/>
        <rFont val="Times New Roman"/>
        <family val="1"/>
      </rPr>
      <t>1</t>
    </r>
  </si>
  <si>
    <t>Тариф страховой компании</t>
  </si>
  <si>
    <t>Со страхованием</t>
  </si>
  <si>
    <t>Курс валют</t>
  </si>
  <si>
    <t>доллары</t>
  </si>
  <si>
    <t>Без страхования</t>
  </si>
  <si>
    <t>руб</t>
  </si>
  <si>
    <t>дол</t>
  </si>
  <si>
    <t>сумма</t>
  </si>
  <si>
    <t>подерж</t>
  </si>
  <si>
    <t>ПВ</t>
  </si>
  <si>
    <t>справка</t>
  </si>
  <si>
    <t>до 7 лет</t>
  </si>
  <si>
    <t>ставка</t>
  </si>
  <si>
    <t>ин.валюта</t>
  </si>
  <si>
    <t>рубли/вал</t>
  </si>
  <si>
    <t>Сумма кредита (итоговая)</t>
  </si>
  <si>
    <t>Сумма кредита (заявленная)</t>
  </si>
  <si>
    <r>
      <t>0</t>
    </r>
    <r>
      <rPr>
        <sz val="12"/>
        <rFont val="Times New Roman"/>
        <family val="1"/>
      </rPr>
      <t xml:space="preserve"> Все расчеты являются предварительными. Более точные данные и полную стоимость кредита Вы можете получить в подразделении Банка.</t>
    </r>
  </si>
  <si>
    <t>АБ-Льготный</t>
  </si>
  <si>
    <t>АБ-Льготный со страхованием жизни и потери трудоспособности</t>
  </si>
  <si>
    <t>стр.премия</t>
  </si>
  <si>
    <t>Страховой взнос за весь срок кредита</t>
  </si>
  <si>
    <t xml:space="preserve">Сумма страхового взноса </t>
  </si>
  <si>
    <t>За 1 год</t>
  </si>
  <si>
    <t>За весь срок кредита</t>
  </si>
  <si>
    <t>Не включать/ Страховой взнос за 1 год</t>
  </si>
  <si>
    <r>
      <t xml:space="preserve">1 </t>
    </r>
    <r>
      <rPr>
        <i/>
        <sz val="10"/>
        <rFont val="Times New Roman"/>
        <family val="1"/>
      </rPr>
      <t>Кредитование государственных служащих и работников бюджетной сферы.</t>
    </r>
  </si>
  <si>
    <r>
      <t>"АК БАРС - Льготный"</t>
    </r>
    <r>
      <rPr>
        <vertAlign val="superscript"/>
        <sz val="11"/>
        <rFont val="Times New Roman"/>
        <family val="1"/>
      </rPr>
      <t>1</t>
    </r>
  </si>
  <si>
    <t>Кредитование государственных служащих и работников бюджетной сферы на приобретение легковых автомобилей отечественного и иностранного производства</t>
  </si>
  <si>
    <t>Категория В</t>
  </si>
  <si>
    <t>Категория D, C</t>
  </si>
  <si>
    <r>
      <t>Результат со страхованием жизни и потери трудоспособности:</t>
    </r>
    <r>
      <rPr>
        <b/>
        <i/>
        <vertAlign val="superscript"/>
        <sz val="12"/>
        <color indexed="60"/>
        <rFont val="Times New Roman"/>
        <family val="1"/>
      </rPr>
      <t>1</t>
    </r>
  </si>
  <si>
    <r>
      <t>Результат без страхования жизни и потери трудоспособности:</t>
    </r>
    <r>
      <rPr>
        <b/>
        <i/>
        <vertAlign val="superscript"/>
        <sz val="12"/>
        <color indexed="60"/>
        <rFont val="Times New Roman"/>
        <family val="1"/>
      </rPr>
      <t>1</t>
    </r>
  </si>
  <si>
    <t>АБ-Статус</t>
  </si>
  <si>
    <t>"В"</t>
  </si>
  <si>
    <t>"D", "С"</t>
  </si>
  <si>
    <t>Р\с есть</t>
  </si>
  <si>
    <t>Р/с нет</t>
  </si>
  <si>
    <t>АБ-Статус со страхованием жизни и потери трудоспособности</t>
  </si>
  <si>
    <t>Наличие р/сч в "АК БАРС" Банке</t>
  </si>
  <si>
    <t>Кредитование собственников бизнеса и ИПБОЮЛ на приобретение транспортных средств</t>
  </si>
  <si>
    <t>Предоставление документов, подтверждающих доход, обязательно.</t>
  </si>
  <si>
    <t>АБМ</t>
  </si>
  <si>
    <t>АБП</t>
  </si>
  <si>
    <t>АБК</t>
  </si>
  <si>
    <t>АБЛ</t>
  </si>
  <si>
    <r>
      <t>"АК БАРС - Статус"</t>
    </r>
    <r>
      <rPr>
        <vertAlign val="superscript"/>
        <sz val="11"/>
        <rFont val="Times New Roman"/>
        <family val="1"/>
      </rPr>
      <t>2</t>
    </r>
  </si>
  <si>
    <r>
      <t>2</t>
    </r>
    <r>
      <rPr>
        <i/>
        <sz val="10"/>
        <rFont val="Times New Roman"/>
        <family val="1"/>
      </rPr>
      <t xml:space="preserve"> Кредитование собственников бизнеса и ИПБОЮЛ</t>
    </r>
  </si>
  <si>
    <t>АБС-В</t>
  </si>
  <si>
    <t>АБС-Д,С</t>
  </si>
  <si>
    <t>Все категории Клиентов</t>
  </si>
  <si>
    <t>Госслужащий/ работник бюджетной сферы</t>
  </si>
  <si>
    <t>Кредитование автомобилей отечественного и иностранного производства, произведенных на территории РФ, стоимость которых составляет не более 600 тысяч рублей и полная масса которых не превышает 3,5 тонны, в соответствии с Перечнем, утвержденным Минпромторгом РФ.</t>
  </si>
  <si>
    <r>
      <t>Результат:</t>
    </r>
    <r>
      <rPr>
        <b/>
        <i/>
        <vertAlign val="superscript"/>
        <sz val="12"/>
        <color indexed="20"/>
        <rFont val="Times New Roman"/>
        <family val="1"/>
      </rPr>
      <t>1</t>
    </r>
  </si>
  <si>
    <t>Категория Клиента</t>
  </si>
  <si>
    <t xml:space="preserve">Комиссия </t>
  </si>
  <si>
    <t>за выдачу кредита</t>
  </si>
  <si>
    <t>Ежемесячный платеж</t>
  </si>
  <si>
    <t>Все</t>
  </si>
  <si>
    <t>(аннуитетный)</t>
  </si>
  <si>
    <t>Льгот</t>
  </si>
  <si>
    <t>Проценты за весь</t>
  </si>
  <si>
    <t>срок кредитования</t>
  </si>
  <si>
    <t>Базовая процентная ставка, годовых</t>
  </si>
  <si>
    <t>Ставка рефинансирования ЦБ РФ</t>
  </si>
  <si>
    <r>
      <t>Субсидия</t>
    </r>
    <r>
      <rPr>
        <i/>
        <sz val="12"/>
        <rFont val="Times New Roman"/>
        <family val="1"/>
      </rPr>
      <t xml:space="preserve"> (2/3 ставки рефинансирования)</t>
    </r>
  </si>
  <si>
    <t>Процентная ставка, годовых</t>
  </si>
  <si>
    <t>(С учетом субсидирования)</t>
  </si>
  <si>
    <t>УТВЕРЖДЕН</t>
  </si>
  <si>
    <t>приказом Минпромторга России</t>
  </si>
  <si>
    <t>№ п/п</t>
  </si>
  <si>
    <t>Модель автомобиля</t>
  </si>
  <si>
    <t>Первые 3 символа VIN-номера (WMI)</t>
  </si>
  <si>
    <t>Chevrolet NIVA</t>
  </si>
  <si>
    <t>X9L</t>
  </si>
  <si>
    <t>Chevrolet Cruze</t>
  </si>
  <si>
    <t>XUF</t>
  </si>
  <si>
    <t>Fiat Albea</t>
  </si>
  <si>
    <t>XU3</t>
  </si>
  <si>
    <t>Z7G</t>
  </si>
  <si>
    <t>Ford Focus</t>
  </si>
  <si>
    <t>X9F</t>
  </si>
  <si>
    <t>Kia Spectra</t>
  </si>
  <si>
    <t>XWK</t>
  </si>
  <si>
    <t>XTA</t>
  </si>
  <si>
    <t>X7D</t>
  </si>
  <si>
    <t>Z7Z</t>
  </si>
  <si>
    <t>X7Y</t>
  </si>
  <si>
    <t>X98</t>
  </si>
  <si>
    <t>Renault Logan</t>
  </si>
  <si>
    <t>X7L</t>
  </si>
  <si>
    <t>Renault Sandero</t>
  </si>
  <si>
    <t>Skoda Fabia</t>
  </si>
  <si>
    <t>XW8</t>
  </si>
  <si>
    <t>Skoda Octavia</t>
  </si>
  <si>
    <t>XTT</t>
  </si>
  <si>
    <t>XU1</t>
  </si>
  <si>
    <t>Х96</t>
  </si>
  <si>
    <t>Volga Siber</t>
  </si>
  <si>
    <t>XTH</t>
  </si>
  <si>
    <t>Hyundai Sonata</t>
  </si>
  <si>
    <t>X7M</t>
  </si>
  <si>
    <t>Hyundai Accent</t>
  </si>
  <si>
    <t>ТагАЗ С100</t>
  </si>
  <si>
    <t>ТагАЗ Road Partner</t>
  </si>
  <si>
    <t>ТагАЗ Tager</t>
  </si>
  <si>
    <t>ТагАЗ LC100</t>
  </si>
  <si>
    <t>Peugeot 308</t>
  </si>
  <si>
    <t>Z8T</t>
  </si>
  <si>
    <t>Volkswagen Polo Sedan</t>
  </si>
  <si>
    <t>Автокредит с субсидированием "АК БАРС - Максимум"/</t>
  </si>
  <si>
    <t>"АК БАРС - Льготный"</t>
  </si>
  <si>
    <t>Собственник бизнеса/ ИПБОЮЛ</t>
  </si>
  <si>
    <t>"АК БАРС - Статус"</t>
  </si>
  <si>
    <t>р/сч есть</t>
  </si>
  <si>
    <t>р/сч нет</t>
  </si>
  <si>
    <t>статус</t>
  </si>
  <si>
    <t>Наличие р/сч в Банке</t>
  </si>
  <si>
    <t>(Для категории Клиентов "Собственник бизнеса/ ИПБОЮЛ")</t>
  </si>
  <si>
    <t>ставка-статус</t>
  </si>
  <si>
    <t>ставка-все</t>
  </si>
  <si>
    <t>Категория "В"</t>
  </si>
  <si>
    <t>Категория "С"</t>
  </si>
  <si>
    <t>"С"</t>
  </si>
  <si>
    <t xml:space="preserve">ПЕРЕЧЕНЬ
автомобилей, производимых на территории Российской Федерации, при приобретении которых физическими лицами в кредит в 2009 - 2011 годах кредитным организациям возмещаются выпадающие доходы исходя из двух третьих ставки рефинансирования центрального банка российской федерации
</t>
  </si>
  <si>
    <t>(с изменением от 28.03.2011г.)</t>
  </si>
  <si>
    <t>от «31» января 2011 г. № 99</t>
  </si>
  <si>
    <t>Fiat Doblo*</t>
  </si>
  <si>
    <t>Fiat Ducato*</t>
  </si>
  <si>
    <t>LADA-1117*</t>
  </si>
  <si>
    <t>LADA-1118*</t>
  </si>
  <si>
    <t>LADA-1119*</t>
  </si>
  <si>
    <t>LADA-2104*</t>
  </si>
  <si>
    <t>LADA-2105*</t>
  </si>
  <si>
    <t>LADA-2107*</t>
  </si>
  <si>
    <t>LADA-2111*</t>
  </si>
  <si>
    <t>LADA-2112*</t>
  </si>
  <si>
    <t>LADA-2113*</t>
  </si>
  <si>
    <t>LADA-2114*</t>
  </si>
  <si>
    <t>LADA-2115*</t>
  </si>
  <si>
    <t>LADA-2121*</t>
  </si>
  <si>
    <t>LADA-2131*</t>
  </si>
  <si>
    <t>LADA-2170*</t>
  </si>
  <si>
    <t>LADA-2171*</t>
  </si>
  <si>
    <t>LADA-2172*</t>
  </si>
  <si>
    <t>LADA-2329*</t>
  </si>
  <si>
    <t>UAZ Hunter*</t>
  </si>
  <si>
    <t>UAZ Patriot*</t>
  </si>
  <si>
    <t>UAZ Pickup*</t>
  </si>
  <si>
    <t>ГАЗ-2217*</t>
  </si>
  <si>
    <t>ГАЗ-2310*</t>
  </si>
  <si>
    <t>ГАЗ-2705*</t>
  </si>
  <si>
    <t>ГАЗ-2752*</t>
  </si>
  <si>
    <t>ГАЗ-3221*</t>
  </si>
  <si>
    <t>ГАЗ-3302*</t>
  </si>
  <si>
    <t>УАЗ-2206*</t>
  </si>
  <si>
    <t>УАЗ-2360*</t>
  </si>
  <si>
    <t>УАЗ-3303*</t>
  </si>
  <si>
    <t>УАЗ-3741*</t>
  </si>
  <si>
    <t>УАЗ-3909*</t>
  </si>
  <si>
    <t>УАЗ-3962*</t>
  </si>
  <si>
    <t>ИЖ-2717*</t>
  </si>
  <si>
    <t>* - Включая другие модификации этих моделей, полная масса которых не превышает 3,5 т.</t>
  </si>
  <si>
    <t>Hyundai Solaris</t>
  </si>
  <si>
    <t>Fiat Linea</t>
  </si>
  <si>
    <t>Chevrolet Lacetti</t>
  </si>
  <si>
    <t>Z94</t>
  </si>
  <si>
    <t>Z88</t>
  </si>
  <si>
    <t>XUU</t>
  </si>
  <si>
    <t>rtjh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</si>
</sst>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%"/>
    <numFmt numFmtId="166" formatCode="000000"/>
    <numFmt numFmtId="167" formatCode="#,##0.0"/>
    <numFmt numFmtId="168" formatCode="0.0"/>
    <numFmt numFmtId="169" formatCode="0.000%"/>
    <numFmt numFmtId="170" formatCode="0.0000%"/>
    <numFmt numFmtId="171" formatCode="0.00000"/>
    <numFmt numFmtId="172" formatCode="0.0000"/>
    <numFmt numFmtId="173" formatCode="0.000"/>
    <numFmt numFmtId="174" formatCode="#,##0.00;[Red]#,##0.00"/>
    <numFmt numFmtId="175" formatCode="#,##0.00_ ;[Red]\-#,##0.00\ 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0.000000000000000"/>
    <numFmt numFmtId="186" formatCode="0.0000000000000000"/>
    <numFmt numFmtId="187" formatCode="0.00000000000000000"/>
    <numFmt numFmtId="188" formatCode="0.0000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0.00000000000%"/>
    <numFmt numFmtId="195" formatCode="0.000000000000%"/>
    <numFmt numFmtId="196" formatCode="0.0000000000000%"/>
    <numFmt numFmtId="197" formatCode="0.00000000000000%"/>
    <numFmt numFmtId="198" formatCode="#,##0.000_ ;[Red]\-#,##0.000\ "/>
    <numFmt numFmtId="199" formatCode="#,##0.0000_ ;[Red]\-#,##0.0000\ "/>
    <numFmt numFmtId="200" formatCode="#,##0.00000_ ;[Red]\-#,##0.00000\ "/>
    <numFmt numFmtId="201" formatCode="#,##0.000000_ ;[Red]\-#,##0.000000\ 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00000000000000%"/>
    <numFmt numFmtId="207" formatCode="0.0000000000000000%"/>
    <numFmt numFmtId="208" formatCode="0.00000000000000000%"/>
    <numFmt numFmtId="209" formatCode="0.000000000000000000%"/>
    <numFmt numFmtId="210" formatCode="0.0000000000000000000%"/>
    <numFmt numFmtId="211" formatCode="0.00000000000000000000%"/>
    <numFmt numFmtId="212" formatCode="0.000000000000000000000%"/>
    <numFmt numFmtId="213" formatCode="#,##0.0_ ;[Red]\-#,##0.0\ "/>
    <numFmt numFmtId="214" formatCode="#,##0_ ;[Red]\-#,##0\ "/>
  </numFmts>
  <fonts count="76">
    <font>
      <sz val="10"/>
      <name val="Arial Cyr"/>
      <family val="0"/>
    </font>
    <font>
      <sz val="8"/>
      <name val="Tahoma"/>
      <family val="2"/>
    </font>
    <font>
      <sz val="10"/>
      <name val="Times New Roman"/>
      <family val="1"/>
    </font>
    <font>
      <sz val="10"/>
      <color indexed="55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i/>
      <sz val="12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b/>
      <u val="single"/>
      <sz val="12"/>
      <color indexed="17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b/>
      <i/>
      <sz val="12"/>
      <color indexed="17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4"/>
      <color indexed="10"/>
      <name val="Times New Roman"/>
      <family val="1"/>
    </font>
    <font>
      <sz val="10"/>
      <color indexed="22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sz val="12"/>
      <color indexed="55"/>
      <name val="Times New Roman"/>
      <family val="1"/>
    </font>
    <font>
      <b/>
      <sz val="12"/>
      <color indexed="17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i/>
      <vertAlign val="superscript"/>
      <sz val="12"/>
      <color indexed="17"/>
      <name val="Times New Roman"/>
      <family val="1"/>
    </font>
    <font>
      <b/>
      <sz val="14"/>
      <name val="Times New Roman"/>
      <family val="1"/>
    </font>
    <font>
      <b/>
      <i/>
      <vertAlign val="superscript"/>
      <sz val="12"/>
      <color indexed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6"/>
      <name val="Times New Roman"/>
      <family val="1"/>
    </font>
    <font>
      <b/>
      <i/>
      <vertAlign val="superscript"/>
      <sz val="12"/>
      <color indexed="16"/>
      <name val="Times New Roman"/>
      <family val="1"/>
    </font>
    <font>
      <b/>
      <i/>
      <sz val="16"/>
      <color indexed="16"/>
      <name val="Times New Roman"/>
      <family val="1"/>
    </font>
    <font>
      <i/>
      <sz val="11"/>
      <name val="Times New Roman"/>
      <family val="1"/>
    </font>
    <font>
      <b/>
      <sz val="10"/>
      <color indexed="22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14"/>
      <color indexed="14"/>
      <name val="Times New Roman"/>
      <family val="1"/>
    </font>
    <font>
      <b/>
      <i/>
      <sz val="14"/>
      <color indexed="17"/>
      <name val="Times New Roman"/>
      <family val="1"/>
    </font>
    <font>
      <sz val="14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16"/>
      <name val="Times New Roman"/>
      <family val="1"/>
    </font>
    <font>
      <sz val="12"/>
      <color indexed="23"/>
      <name val="Times New Roman"/>
      <family val="1"/>
    </font>
    <font>
      <u val="single"/>
      <sz val="12"/>
      <color indexed="23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4"/>
      <name val="Times New Roman"/>
      <family val="1"/>
    </font>
    <font>
      <b/>
      <i/>
      <sz val="10"/>
      <color indexed="23"/>
      <name val="Times New Roman"/>
      <family val="1"/>
    </font>
    <font>
      <b/>
      <u val="single"/>
      <sz val="10"/>
      <color indexed="12"/>
      <name val="Times New Roman"/>
      <family val="1"/>
    </font>
    <font>
      <b/>
      <i/>
      <u val="single"/>
      <sz val="10"/>
      <color indexed="10"/>
      <name val="Times New Roman"/>
      <family val="1"/>
    </font>
    <font>
      <sz val="12"/>
      <color indexed="17"/>
      <name val="Times New Roman"/>
      <family val="1"/>
    </font>
    <font>
      <b/>
      <sz val="12"/>
      <color indexed="23"/>
      <name val="Times New Roman"/>
      <family val="1"/>
    </font>
    <font>
      <sz val="10"/>
      <color indexed="17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b/>
      <i/>
      <u val="single"/>
      <sz val="14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i/>
      <vertAlign val="superscript"/>
      <sz val="12"/>
      <color indexed="60"/>
      <name val="Times New Roman"/>
      <family val="1"/>
    </font>
    <font>
      <b/>
      <i/>
      <sz val="14"/>
      <color indexed="60"/>
      <name val="Times New Roman"/>
      <family val="1"/>
    </font>
    <font>
      <i/>
      <sz val="10.5"/>
      <name val="Times New Roman"/>
      <family val="1"/>
    </font>
    <font>
      <b/>
      <i/>
      <sz val="12"/>
      <color indexed="20"/>
      <name val="Times New Roman"/>
      <family val="1"/>
    </font>
    <font>
      <b/>
      <i/>
      <vertAlign val="superscript"/>
      <sz val="12"/>
      <color indexed="20"/>
      <name val="Times New Roman"/>
      <family val="1"/>
    </font>
    <font>
      <b/>
      <i/>
      <sz val="16"/>
      <color indexed="20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2"/>
      <name val="Times New Roman CYR"/>
      <family val="0"/>
    </font>
    <font>
      <sz val="12"/>
      <color indexed="8"/>
      <name val="Times New Roman CYR"/>
      <family val="0"/>
    </font>
    <font>
      <sz val="8"/>
      <name val="Arial Cyr"/>
      <family val="0"/>
    </font>
    <font>
      <u val="single"/>
      <sz val="10"/>
      <color indexed="22"/>
      <name val="Times New Roman"/>
      <family val="1"/>
    </font>
    <font>
      <i/>
      <sz val="10"/>
      <color indexed="22"/>
      <name val="Times New Roman"/>
      <family val="1"/>
    </font>
    <font>
      <sz val="12"/>
      <color indexed="12"/>
      <name val="Times New Roman"/>
      <family val="1"/>
    </font>
  </fonts>
  <fills count="19">
    <fill>
      <patternFill/>
    </fill>
    <fill>
      <patternFill patternType="gray125"/>
    </fill>
    <fill>
      <patternFill patternType="lightGray">
        <fgColor indexed="14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17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22"/>
      </patternFill>
    </fill>
    <fill>
      <patternFill patternType="lightGray">
        <fgColor indexed="12"/>
        <bgColor indexed="9"/>
      </patternFill>
    </fill>
    <fill>
      <patternFill patternType="lightGray">
        <fgColor indexed="1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16"/>
        <bgColor indexed="13"/>
      </patternFill>
    </fill>
    <fill>
      <patternFill patternType="lightGray">
        <fgColor indexed="16"/>
        <bgColor indexed="10"/>
      </patternFill>
    </fill>
    <fill>
      <patternFill patternType="lightGray">
        <fgColor indexed="14"/>
        <bgColor indexed="43"/>
      </patternFill>
    </fill>
    <fill>
      <patternFill patternType="lightGray">
        <fgColor indexed="14"/>
        <bgColor indexed="41"/>
      </patternFill>
    </fill>
    <fill>
      <patternFill patternType="lightGray">
        <fgColor indexed="28"/>
      </patternFill>
    </fill>
    <fill>
      <patternFill patternType="solid">
        <fgColor indexed="65"/>
        <bgColor indexed="64"/>
      </patternFill>
    </fill>
  </fills>
  <borders count="1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 style="medium">
        <color indexed="14"/>
      </left>
      <right style="medium"/>
      <top>
        <color indexed="63"/>
      </top>
      <bottom>
        <color indexed="63"/>
      </bottom>
    </border>
    <border>
      <left style="medium">
        <color indexed="14"/>
      </left>
      <right style="medium">
        <color indexed="14"/>
      </right>
      <top>
        <color indexed="63"/>
      </top>
      <bottom>
        <color indexed="63"/>
      </bottom>
    </border>
    <border>
      <left style="medium">
        <color indexed="14"/>
      </left>
      <right style="medium">
        <color indexed="14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dashed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indexed="16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>
        <color indexed="63"/>
      </left>
      <right>
        <color indexed="63"/>
      </right>
      <top style="medium"/>
      <bottom style="medium">
        <color indexed="17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/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22"/>
      </left>
      <right style="medium"/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>
        <color indexed="1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medium"/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16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/>
    </border>
    <border>
      <left style="medium">
        <color indexed="2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12"/>
      </bottom>
    </border>
    <border>
      <left style="medium">
        <color indexed="22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 style="medium"/>
    </border>
    <border>
      <left>
        <color indexed="63"/>
      </left>
      <right>
        <color indexed="63"/>
      </right>
      <top style="medium">
        <color indexed="22"/>
      </top>
      <bottom style="medium">
        <color indexed="17"/>
      </bottom>
    </border>
    <border>
      <left style="medium">
        <color indexed="17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thin"/>
    </border>
    <border>
      <left style="medium"/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 style="medium"/>
    </border>
    <border>
      <left>
        <color indexed="63"/>
      </left>
      <right>
        <color indexed="63"/>
      </right>
      <top style="medium">
        <color indexed="22"/>
      </top>
      <bottom style="medium">
        <color indexed="60"/>
      </bottom>
    </border>
    <border>
      <left style="medium">
        <color indexed="22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 style="medium">
        <color indexed="20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 style="medium">
        <color indexed="2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dashed"/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20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 style="medium">
        <color indexed="20"/>
      </right>
      <top>
        <color indexed="63"/>
      </top>
      <bottom style="medium">
        <color indexed="20"/>
      </bottom>
    </border>
    <border>
      <left style="medium"/>
      <right style="medium"/>
      <top style="medium"/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6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0" fontId="2" fillId="2" borderId="0" xfId="0" applyFont="1" applyFill="1" applyBorder="1" applyAlignment="1" applyProtection="1">
      <alignment/>
      <protection hidden="1"/>
    </xf>
    <xf numFmtId="43" fontId="2" fillId="2" borderId="0" xfId="18" applyFont="1" applyFill="1" applyAlignment="1" applyProtection="1">
      <alignment/>
      <protection hidden="1"/>
    </xf>
    <xf numFmtId="0" fontId="2" fillId="3" borderId="1" xfId="0" applyFont="1" applyFill="1" applyBorder="1" applyAlignment="1" applyProtection="1">
      <alignment/>
      <protection hidden="1"/>
    </xf>
    <xf numFmtId="0" fontId="2" fillId="3" borderId="2" xfId="0" applyFont="1" applyFill="1" applyBorder="1" applyAlignment="1" applyProtection="1">
      <alignment/>
      <protection hidden="1"/>
    </xf>
    <xf numFmtId="0" fontId="2" fillId="3" borderId="3" xfId="0" applyFont="1" applyFill="1" applyBorder="1" applyAlignment="1" applyProtection="1">
      <alignment/>
      <protection hidden="1"/>
    </xf>
    <xf numFmtId="0" fontId="2" fillId="3" borderId="4" xfId="0" applyFont="1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hidden="1"/>
    </xf>
    <xf numFmtId="0" fontId="7" fillId="3" borderId="0" xfId="0" applyFont="1" applyFill="1" applyBorder="1" applyAlignment="1" applyProtection="1">
      <alignment vertical="top" wrapText="1"/>
      <protection hidden="1"/>
    </xf>
    <xf numFmtId="0" fontId="3" fillId="3" borderId="4" xfId="0" applyFont="1" applyFill="1" applyBorder="1" applyAlignment="1" applyProtection="1">
      <alignment horizontal="left"/>
      <protection hidden="1"/>
    </xf>
    <xf numFmtId="0" fontId="4" fillId="3" borderId="0" xfId="0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wrapText="1"/>
      <protection hidden="1"/>
    </xf>
    <xf numFmtId="0" fontId="2" fillId="3" borderId="6" xfId="0" applyFont="1" applyFill="1" applyBorder="1" applyAlignment="1" applyProtection="1">
      <alignment/>
      <protection hidden="1"/>
    </xf>
    <xf numFmtId="0" fontId="2" fillId="3" borderId="7" xfId="0" applyFont="1" applyFill="1" applyBorder="1" applyAlignment="1" applyProtection="1">
      <alignment/>
      <protection hidden="1"/>
    </xf>
    <xf numFmtId="0" fontId="2" fillId="3" borderId="8" xfId="0" applyFont="1" applyFill="1" applyBorder="1" applyAlignment="1" applyProtection="1">
      <alignment/>
      <protection hidden="1"/>
    </xf>
    <xf numFmtId="0" fontId="2" fillId="3" borderId="9" xfId="0" applyFont="1" applyFill="1" applyBorder="1" applyAlignment="1" applyProtection="1">
      <alignment/>
      <protection hidden="1"/>
    </xf>
    <xf numFmtId="0" fontId="2" fillId="3" borderId="10" xfId="0" applyFont="1" applyFill="1" applyBorder="1" applyAlignment="1" applyProtection="1">
      <alignment/>
      <protection hidden="1"/>
    </xf>
    <xf numFmtId="0" fontId="2" fillId="3" borderId="11" xfId="0" applyFont="1" applyFill="1" applyBorder="1" applyAlignment="1" applyProtection="1">
      <alignment/>
      <protection hidden="1" locked="0"/>
    </xf>
    <xf numFmtId="0" fontId="2" fillId="3" borderId="0" xfId="0" applyFont="1" applyFill="1" applyBorder="1" applyAlignment="1" applyProtection="1">
      <alignment/>
      <protection hidden="1" locked="0"/>
    </xf>
    <xf numFmtId="0" fontId="2" fillId="3" borderId="12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/>
    </xf>
    <xf numFmtId="0" fontId="16" fillId="4" borderId="13" xfId="0" applyFont="1" applyFill="1" applyBorder="1" applyAlignment="1" applyProtection="1">
      <alignment/>
      <protection hidden="1"/>
    </xf>
    <xf numFmtId="0" fontId="16" fillId="5" borderId="0" xfId="0" applyFont="1" applyFill="1" applyBorder="1" applyAlignment="1" applyProtection="1">
      <alignment/>
      <protection hidden="1" locked="0"/>
    </xf>
    <xf numFmtId="0" fontId="7" fillId="3" borderId="14" xfId="0" applyFont="1" applyFill="1" applyBorder="1" applyAlignment="1" applyProtection="1">
      <alignment vertical="top" wrapText="1"/>
      <protection hidden="1"/>
    </xf>
    <xf numFmtId="0" fontId="2" fillId="3" borderId="15" xfId="0" applyFont="1" applyFill="1" applyBorder="1" applyAlignment="1" applyProtection="1">
      <alignment/>
      <protection hidden="1"/>
    </xf>
    <xf numFmtId="0" fontId="2" fillId="3" borderId="16" xfId="0" applyFont="1" applyFill="1" applyBorder="1" applyAlignment="1" applyProtection="1">
      <alignment vertical="top" wrapText="1"/>
      <protection hidden="1"/>
    </xf>
    <xf numFmtId="0" fontId="6" fillId="3" borderId="17" xfId="0" applyFont="1" applyFill="1" applyBorder="1" applyAlignment="1" applyProtection="1">
      <alignment horizontal="center"/>
      <protection hidden="1"/>
    </xf>
    <xf numFmtId="0" fontId="7" fillId="3" borderId="16" xfId="0" applyFont="1" applyFill="1" applyBorder="1" applyAlignment="1" applyProtection="1">
      <alignment vertical="top" wrapText="1"/>
      <protection hidden="1"/>
    </xf>
    <xf numFmtId="0" fontId="2" fillId="3" borderId="16" xfId="0" applyFont="1" applyFill="1" applyBorder="1" applyAlignment="1" applyProtection="1">
      <alignment horizontal="center" vertical="top" wrapText="1"/>
      <protection hidden="1"/>
    </xf>
    <xf numFmtId="0" fontId="2" fillId="3" borderId="18" xfId="0" applyFont="1" applyFill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/>
      <protection hidden="1"/>
    </xf>
    <xf numFmtId="0" fontId="2" fillId="6" borderId="19" xfId="0" applyFont="1" applyFill="1" applyBorder="1" applyAlignment="1" applyProtection="1">
      <alignment horizontal="right"/>
      <protection hidden="1"/>
    </xf>
    <xf numFmtId="9" fontId="2" fillId="6" borderId="20" xfId="0" applyNumberFormat="1" applyFont="1" applyFill="1" applyBorder="1" applyAlignment="1" applyProtection="1">
      <alignment horizontal="left"/>
      <protection hidden="1"/>
    </xf>
    <xf numFmtId="0" fontId="2" fillId="6" borderId="0" xfId="0" applyFont="1" applyFill="1" applyBorder="1" applyAlignment="1" applyProtection="1">
      <alignment/>
      <protection hidden="1"/>
    </xf>
    <xf numFmtId="0" fontId="2" fillId="6" borderId="13" xfId="0" applyFont="1" applyFill="1" applyBorder="1" applyAlignment="1" applyProtection="1">
      <alignment/>
      <protection hidden="1"/>
    </xf>
    <xf numFmtId="9" fontId="2" fillId="6" borderId="7" xfId="0" applyNumberFormat="1" applyFont="1" applyFill="1" applyBorder="1" applyAlignment="1" applyProtection="1">
      <alignment/>
      <protection hidden="1"/>
    </xf>
    <xf numFmtId="0" fontId="2" fillId="6" borderId="0" xfId="0" applyFont="1" applyFill="1" applyBorder="1" applyAlignment="1" applyProtection="1">
      <alignment/>
      <protection hidden="1"/>
    </xf>
    <xf numFmtId="49" fontId="2" fillId="6" borderId="13" xfId="0" applyNumberFormat="1" applyFont="1" applyFill="1" applyBorder="1" applyAlignment="1" applyProtection="1">
      <alignment/>
      <protection hidden="1"/>
    </xf>
    <xf numFmtId="165" fontId="2" fillId="6" borderId="13" xfId="0" applyNumberFormat="1" applyFont="1" applyFill="1" applyBorder="1" applyAlignment="1" applyProtection="1">
      <alignment/>
      <protection hidden="1"/>
    </xf>
    <xf numFmtId="49" fontId="2" fillId="6" borderId="13" xfId="0" applyNumberFormat="1" applyFont="1" applyFill="1" applyBorder="1" applyAlignment="1" applyProtection="1">
      <alignment horizontal="left"/>
      <protection hidden="1"/>
    </xf>
    <xf numFmtId="0" fontId="2" fillId="6" borderId="21" xfId="0" applyFont="1" applyFill="1" applyBorder="1" applyAlignment="1" applyProtection="1">
      <alignment/>
      <protection hidden="1"/>
    </xf>
    <xf numFmtId="9" fontId="2" fillId="6" borderId="22" xfId="0" applyNumberFormat="1" applyFont="1" applyFill="1" applyBorder="1" applyAlignment="1" applyProtection="1">
      <alignment horizontal="left"/>
      <protection hidden="1"/>
    </xf>
    <xf numFmtId="0" fontId="2" fillId="6" borderId="0" xfId="0" applyFont="1" applyFill="1" applyBorder="1" applyAlignment="1" applyProtection="1">
      <alignment horizontal="right"/>
      <protection hidden="1"/>
    </xf>
    <xf numFmtId="9" fontId="2" fillId="6" borderId="0" xfId="0" applyNumberFormat="1" applyFont="1" applyFill="1" applyBorder="1" applyAlignment="1" applyProtection="1">
      <alignment horizontal="left"/>
      <protection hidden="1"/>
    </xf>
    <xf numFmtId="0" fontId="2" fillId="6" borderId="6" xfId="0" applyFont="1" applyFill="1" applyBorder="1" applyAlignment="1" applyProtection="1">
      <alignment/>
      <protection hidden="1"/>
    </xf>
    <xf numFmtId="9" fontId="2" fillId="6" borderId="23" xfId="0" applyNumberFormat="1" applyFont="1" applyFill="1" applyBorder="1" applyAlignment="1" applyProtection="1">
      <alignment/>
      <protection hidden="1"/>
    </xf>
    <xf numFmtId="0" fontId="2" fillId="6" borderId="22" xfId="0" applyFont="1" applyFill="1" applyBorder="1" applyAlignment="1" applyProtection="1">
      <alignment/>
      <protection hidden="1"/>
    </xf>
    <xf numFmtId="165" fontId="2" fillId="6" borderId="22" xfId="0" applyNumberFormat="1" applyFont="1" applyFill="1" applyBorder="1" applyAlignment="1" applyProtection="1">
      <alignment/>
      <protection hidden="1"/>
    </xf>
    <xf numFmtId="165" fontId="2" fillId="6" borderId="0" xfId="0" applyNumberFormat="1" applyFont="1" applyFill="1" applyBorder="1" applyAlignment="1" applyProtection="1">
      <alignment/>
      <protection hidden="1"/>
    </xf>
    <xf numFmtId="165" fontId="2" fillId="6" borderId="19" xfId="0" applyNumberFormat="1" applyFont="1" applyFill="1" applyBorder="1" applyAlignment="1" applyProtection="1">
      <alignment/>
      <protection hidden="1"/>
    </xf>
    <xf numFmtId="49" fontId="2" fillId="6" borderId="0" xfId="0" applyNumberFormat="1" applyFont="1" applyFill="1" applyBorder="1" applyAlignment="1" applyProtection="1">
      <alignment/>
      <protection hidden="1"/>
    </xf>
    <xf numFmtId="165" fontId="2" fillId="6" borderId="7" xfId="0" applyNumberFormat="1" applyFont="1" applyFill="1" applyBorder="1" applyAlignment="1" applyProtection="1">
      <alignment/>
      <protection hidden="1"/>
    </xf>
    <xf numFmtId="0" fontId="2" fillId="2" borderId="13" xfId="0" applyFont="1" applyFill="1" applyBorder="1" applyAlignment="1" applyProtection="1">
      <alignment horizontal="center"/>
      <protection hidden="1"/>
    </xf>
    <xf numFmtId="0" fontId="2" fillId="2" borderId="13" xfId="0" applyFont="1" applyFill="1" applyBorder="1" applyAlignment="1" applyProtection="1">
      <alignment horizontal="left"/>
      <protection hidden="1"/>
    </xf>
    <xf numFmtId="0" fontId="2" fillId="2" borderId="13" xfId="0" applyFont="1" applyFill="1" applyBorder="1" applyAlignment="1" applyProtection="1">
      <alignment/>
      <protection hidden="1"/>
    </xf>
    <xf numFmtId="0" fontId="2" fillId="2" borderId="6" xfId="0" applyFont="1" applyFill="1" applyBorder="1" applyAlignment="1" applyProtection="1">
      <alignment/>
      <protection hidden="1"/>
    </xf>
    <xf numFmtId="0" fontId="2" fillId="2" borderId="21" xfId="0" applyFont="1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 wrapText="1"/>
      <protection hidden="1"/>
    </xf>
    <xf numFmtId="0" fontId="7" fillId="2" borderId="22" xfId="0" applyFont="1" applyFill="1" applyBorder="1" applyAlignment="1" applyProtection="1">
      <alignment vertical="top" wrapText="1"/>
      <protection hidden="1"/>
    </xf>
    <xf numFmtId="0" fontId="7" fillId="2" borderId="0" xfId="0" applyFont="1" applyFill="1" applyBorder="1" applyAlignment="1" applyProtection="1">
      <alignment vertical="top" wrapText="1"/>
      <protection hidden="1"/>
    </xf>
    <xf numFmtId="0" fontId="2" fillId="3" borderId="11" xfId="0" applyFont="1" applyFill="1" applyBorder="1" applyAlignment="1" applyProtection="1">
      <alignment shrinkToFit="1"/>
      <protection hidden="1" locked="0"/>
    </xf>
    <xf numFmtId="0" fontId="15" fillId="3" borderId="24" xfId="0" applyFont="1" applyFill="1" applyBorder="1" applyAlignment="1" applyProtection="1">
      <alignment/>
      <protection hidden="1"/>
    </xf>
    <xf numFmtId="0" fontId="15" fillId="3" borderId="25" xfId="0" applyFont="1" applyFill="1" applyBorder="1" applyAlignment="1" applyProtection="1">
      <alignment/>
      <protection hidden="1"/>
    </xf>
    <xf numFmtId="0" fontId="10" fillId="3" borderId="26" xfId="0" applyFont="1" applyFill="1" applyBorder="1" applyAlignment="1" applyProtection="1">
      <alignment horizontal="center" vertical="center"/>
      <protection hidden="1"/>
    </xf>
    <xf numFmtId="0" fontId="10" fillId="3" borderId="27" xfId="0" applyFont="1" applyFill="1" applyBorder="1" applyAlignment="1" applyProtection="1">
      <alignment horizontal="center" vertical="center"/>
      <protection hidden="1"/>
    </xf>
    <xf numFmtId="0" fontId="18" fillId="5" borderId="0" xfId="0" applyFont="1" applyFill="1" applyBorder="1" applyAlignment="1" applyProtection="1">
      <alignment/>
      <protection hidden="1"/>
    </xf>
    <xf numFmtId="9" fontId="2" fillId="0" borderId="20" xfId="0" applyNumberFormat="1" applyFont="1" applyFill="1" applyBorder="1" applyAlignment="1" applyProtection="1">
      <alignment horizontal="left"/>
      <protection hidden="1" locked="0"/>
    </xf>
    <xf numFmtId="165" fontId="2" fillId="0" borderId="13" xfId="0" applyNumberFormat="1" applyFont="1" applyFill="1" applyBorder="1" applyAlignment="1" applyProtection="1">
      <alignment/>
      <protection hidden="1" locked="0"/>
    </xf>
    <xf numFmtId="3" fontId="2" fillId="0" borderId="13" xfId="0" applyNumberFormat="1" applyFont="1" applyFill="1" applyBorder="1" applyAlignment="1" applyProtection="1">
      <alignment/>
      <protection hidden="1" locked="0"/>
    </xf>
    <xf numFmtId="9" fontId="2" fillId="0" borderId="23" xfId="0" applyNumberFormat="1" applyFont="1" applyFill="1" applyBorder="1" applyAlignment="1" applyProtection="1">
      <alignment/>
      <protection hidden="1" locked="0"/>
    </xf>
    <xf numFmtId="9" fontId="2" fillId="0" borderId="7" xfId="0" applyNumberFormat="1" applyFont="1" applyFill="1" applyBorder="1" applyAlignment="1" applyProtection="1">
      <alignment/>
      <protection hidden="1" locked="0"/>
    </xf>
    <xf numFmtId="165" fontId="2" fillId="0" borderId="23" xfId="0" applyNumberFormat="1" applyFont="1" applyFill="1" applyBorder="1" applyAlignment="1" applyProtection="1">
      <alignment/>
      <protection hidden="1" locked="0"/>
    </xf>
    <xf numFmtId="165" fontId="2" fillId="0" borderId="19" xfId="0" applyNumberFormat="1" applyFont="1" applyFill="1" applyBorder="1" applyAlignment="1" applyProtection="1">
      <alignment/>
      <protection hidden="1" locked="0"/>
    </xf>
    <xf numFmtId="165" fontId="2" fillId="0" borderId="7" xfId="0" applyNumberFormat="1" applyFont="1" applyFill="1" applyBorder="1" applyAlignment="1" applyProtection="1">
      <alignment/>
      <protection hidden="1" locked="0"/>
    </xf>
    <xf numFmtId="0" fontId="16" fillId="4" borderId="0" xfId="0" applyFont="1" applyFill="1" applyAlignment="1" applyProtection="1">
      <alignment/>
      <protection hidden="1"/>
    </xf>
    <xf numFmtId="0" fontId="2" fillId="2" borderId="19" xfId="0" applyFont="1" applyFill="1" applyBorder="1" applyAlignment="1" applyProtection="1">
      <alignment horizontal="left"/>
      <protection hidden="1"/>
    </xf>
    <xf numFmtId="0" fontId="2" fillId="2" borderId="22" xfId="0" applyFont="1" applyFill="1" applyBorder="1" applyAlignment="1" applyProtection="1">
      <alignment horizontal="left"/>
      <protection hidden="1"/>
    </xf>
    <xf numFmtId="0" fontId="2" fillId="0" borderId="28" xfId="0" applyFont="1" applyBorder="1" applyAlignment="1" applyProtection="1">
      <alignment/>
      <protection hidden="1"/>
    </xf>
    <xf numFmtId="0" fontId="2" fillId="6" borderId="6" xfId="0" applyFont="1" applyFill="1" applyBorder="1" applyAlignment="1" applyProtection="1">
      <alignment horizontal="left"/>
      <protection hidden="1"/>
    </xf>
    <xf numFmtId="9" fontId="2" fillId="0" borderId="7" xfId="0" applyNumberFormat="1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14" fillId="5" borderId="0" xfId="0" applyFont="1" applyFill="1" applyBorder="1" applyAlignment="1" applyProtection="1">
      <alignment/>
      <protection hidden="1"/>
    </xf>
    <xf numFmtId="0" fontId="22" fillId="5" borderId="0" xfId="0" applyFont="1" applyFill="1" applyBorder="1" applyAlignment="1" applyProtection="1">
      <alignment/>
      <protection hidden="1"/>
    </xf>
    <xf numFmtId="0" fontId="14" fillId="5" borderId="0" xfId="0" applyFont="1" applyFill="1" applyBorder="1" applyAlignment="1" applyProtection="1">
      <alignment vertical="center"/>
      <protection hidden="1"/>
    </xf>
    <xf numFmtId="0" fontId="16" fillId="5" borderId="0" xfId="0" applyFont="1" applyFill="1" applyBorder="1" applyAlignment="1" applyProtection="1">
      <alignment/>
      <protection hidden="1"/>
    </xf>
    <xf numFmtId="4" fontId="14" fillId="7" borderId="11" xfId="0" applyNumberFormat="1" applyFont="1" applyFill="1" applyBorder="1" applyAlignment="1" applyProtection="1">
      <alignment/>
      <protection hidden="1"/>
    </xf>
    <xf numFmtId="3" fontId="16" fillId="7" borderId="11" xfId="0" applyNumberFormat="1" applyFont="1" applyFill="1" applyBorder="1" applyAlignment="1" applyProtection="1">
      <alignment/>
      <protection hidden="1"/>
    </xf>
    <xf numFmtId="0" fontId="16" fillId="5" borderId="6" xfId="0" applyFont="1" applyFill="1" applyBorder="1" applyAlignment="1" applyProtection="1">
      <alignment/>
      <protection hidden="1"/>
    </xf>
    <xf numFmtId="4" fontId="16" fillId="5" borderId="11" xfId="0" applyNumberFormat="1" applyFont="1" applyFill="1" applyBorder="1" applyAlignment="1" applyProtection="1">
      <alignment/>
      <protection hidden="1" locked="0"/>
    </xf>
    <xf numFmtId="0" fontId="16" fillId="5" borderId="29" xfId="0" applyFont="1" applyFill="1" applyBorder="1" applyAlignment="1" applyProtection="1">
      <alignment/>
      <protection hidden="1"/>
    </xf>
    <xf numFmtId="10" fontId="16" fillId="7" borderId="30" xfId="0" applyNumberFormat="1" applyFont="1" applyFill="1" applyBorder="1" applyAlignment="1" applyProtection="1">
      <alignment/>
      <protection hidden="1"/>
    </xf>
    <xf numFmtId="4" fontId="16" fillId="7" borderId="11" xfId="0" applyNumberFormat="1" applyFont="1" applyFill="1" applyBorder="1" applyAlignment="1" applyProtection="1">
      <alignment/>
      <protection hidden="1"/>
    </xf>
    <xf numFmtId="0" fontId="16" fillId="5" borderId="7" xfId="0" applyFont="1" applyFill="1" applyBorder="1" applyAlignment="1" applyProtection="1">
      <alignment/>
      <protection hidden="1"/>
    </xf>
    <xf numFmtId="0" fontId="14" fillId="5" borderId="0" xfId="0" applyFont="1" applyFill="1" applyBorder="1" applyAlignment="1" applyProtection="1">
      <alignment wrapText="1"/>
      <protection hidden="1"/>
    </xf>
    <xf numFmtId="0" fontId="17" fillId="5" borderId="0" xfId="0" applyFont="1" applyFill="1" applyBorder="1" applyAlignment="1" applyProtection="1">
      <alignment horizontal="center"/>
      <protection hidden="1"/>
    </xf>
    <xf numFmtId="0" fontId="17" fillId="5" borderId="0" xfId="0" applyFont="1" applyFill="1" applyBorder="1" applyAlignment="1" applyProtection="1">
      <alignment horizontal="center"/>
      <protection hidden="1" locked="0"/>
    </xf>
    <xf numFmtId="0" fontId="16" fillId="5" borderId="6" xfId="0" applyFont="1" applyFill="1" applyBorder="1" applyAlignment="1" applyProtection="1">
      <alignment horizontal="left"/>
      <protection hidden="1"/>
    </xf>
    <xf numFmtId="9" fontId="16" fillId="7" borderId="12" xfId="0" applyNumberFormat="1" applyFont="1" applyFill="1" applyBorder="1" applyAlignment="1" applyProtection="1">
      <alignment/>
      <protection hidden="1"/>
    </xf>
    <xf numFmtId="0" fontId="16" fillId="5" borderId="7" xfId="0" applyFont="1" applyFill="1" applyBorder="1" applyAlignment="1" applyProtection="1">
      <alignment horizontal="left"/>
      <protection hidden="1"/>
    </xf>
    <xf numFmtId="10" fontId="16" fillId="7" borderId="12" xfId="0" applyNumberFormat="1" applyFont="1" applyFill="1" applyBorder="1" applyAlignment="1" applyProtection="1">
      <alignment/>
      <protection hidden="1"/>
    </xf>
    <xf numFmtId="0" fontId="16" fillId="5" borderId="0" xfId="0" applyFont="1" applyFill="1" applyBorder="1" applyAlignment="1" applyProtection="1">
      <alignment horizontal="center"/>
      <protection hidden="1"/>
    </xf>
    <xf numFmtId="0" fontId="16" fillId="5" borderId="0" xfId="0" applyFont="1" applyFill="1" applyBorder="1" applyAlignment="1" applyProtection="1">
      <alignment/>
      <protection hidden="1" locked="0"/>
    </xf>
    <xf numFmtId="0" fontId="16" fillId="5" borderId="0" xfId="0" applyFont="1" applyFill="1" applyBorder="1" applyAlignment="1" applyProtection="1">
      <alignment wrapText="1"/>
      <protection hidden="1"/>
    </xf>
    <xf numFmtId="0" fontId="24" fillId="4" borderId="0" xfId="0" applyFont="1" applyFill="1" applyAlignment="1" applyProtection="1">
      <alignment/>
      <protection hidden="1"/>
    </xf>
    <xf numFmtId="0" fontId="24" fillId="4" borderId="13" xfId="0" applyFont="1" applyFill="1" applyBorder="1" applyAlignment="1" applyProtection="1">
      <alignment/>
      <protection hidden="1"/>
    </xf>
    <xf numFmtId="0" fontId="16" fillId="5" borderId="1" xfId="0" applyFont="1" applyFill="1" applyBorder="1" applyAlignment="1" applyProtection="1">
      <alignment/>
      <protection hidden="1"/>
    </xf>
    <xf numFmtId="0" fontId="16" fillId="5" borderId="2" xfId="0" applyFont="1" applyFill="1" applyBorder="1" applyAlignment="1" applyProtection="1">
      <alignment/>
      <protection hidden="1"/>
    </xf>
    <xf numFmtId="0" fontId="16" fillId="5" borderId="3" xfId="0" applyFont="1" applyFill="1" applyBorder="1" applyAlignment="1" applyProtection="1">
      <alignment/>
      <protection hidden="1"/>
    </xf>
    <xf numFmtId="0" fontId="16" fillId="5" borderId="4" xfId="0" applyFont="1" applyFill="1" applyBorder="1" applyAlignment="1" applyProtection="1">
      <alignment/>
      <protection hidden="1"/>
    </xf>
    <xf numFmtId="0" fontId="16" fillId="5" borderId="5" xfId="0" applyFont="1" applyFill="1" applyBorder="1" applyAlignment="1" applyProtection="1">
      <alignment/>
      <protection hidden="1"/>
    </xf>
    <xf numFmtId="0" fontId="25" fillId="5" borderId="0" xfId="0" applyFont="1" applyFill="1" applyBorder="1" applyAlignment="1" applyProtection="1">
      <alignment horizontal="center"/>
      <protection hidden="1"/>
    </xf>
    <xf numFmtId="0" fontId="16" fillId="5" borderId="31" xfId="0" applyFont="1" applyFill="1" applyBorder="1" applyAlignment="1" applyProtection="1">
      <alignment/>
      <protection hidden="1"/>
    </xf>
    <xf numFmtId="0" fontId="16" fillId="5" borderId="32" xfId="0" applyFont="1" applyFill="1" applyBorder="1" applyAlignment="1" applyProtection="1">
      <alignment/>
      <protection hidden="1"/>
    </xf>
    <xf numFmtId="0" fontId="26" fillId="4" borderId="21" xfId="0" applyFont="1" applyFill="1" applyBorder="1" applyAlignment="1" applyProtection="1">
      <alignment/>
      <protection hidden="1"/>
    </xf>
    <xf numFmtId="0" fontId="16" fillId="4" borderId="33" xfId="0" applyFont="1" applyFill="1" applyBorder="1" applyAlignment="1" applyProtection="1">
      <alignment/>
      <protection hidden="1"/>
    </xf>
    <xf numFmtId="0" fontId="16" fillId="4" borderId="22" xfId="0" applyFont="1" applyFill="1" applyBorder="1" applyAlignment="1" applyProtection="1">
      <alignment/>
      <protection hidden="1"/>
    </xf>
    <xf numFmtId="0" fontId="16" fillId="4" borderId="34" xfId="0" applyFont="1" applyFill="1" applyBorder="1" applyAlignment="1" applyProtection="1">
      <alignment/>
      <protection hidden="1"/>
    </xf>
    <xf numFmtId="0" fontId="24" fillId="5" borderId="4" xfId="0" applyFont="1" applyFill="1" applyBorder="1" applyAlignment="1" applyProtection="1">
      <alignment horizontal="left"/>
      <protection hidden="1"/>
    </xf>
    <xf numFmtId="0" fontId="16" fillId="4" borderId="0" xfId="0" applyFont="1" applyFill="1" applyBorder="1" applyAlignment="1" applyProtection="1">
      <alignment/>
      <protection hidden="1"/>
    </xf>
    <xf numFmtId="0" fontId="16" fillId="4" borderId="23" xfId="0" applyFont="1" applyFill="1" applyBorder="1" applyAlignment="1" applyProtection="1">
      <alignment/>
      <protection hidden="1"/>
    </xf>
    <xf numFmtId="0" fontId="16" fillId="4" borderId="35" xfId="0" applyFont="1" applyFill="1" applyBorder="1" applyAlignment="1" applyProtection="1">
      <alignment/>
      <protection hidden="1"/>
    </xf>
    <xf numFmtId="0" fontId="16" fillId="4" borderId="36" xfId="0" applyFont="1" applyFill="1" applyBorder="1" applyAlignment="1" applyProtection="1">
      <alignment/>
      <protection hidden="1"/>
    </xf>
    <xf numFmtId="0" fontId="16" fillId="4" borderId="37" xfId="0" applyFont="1" applyFill="1" applyBorder="1" applyAlignment="1" applyProtection="1">
      <alignment/>
      <protection hidden="1"/>
    </xf>
    <xf numFmtId="165" fontId="16" fillId="4" borderId="22" xfId="0" applyNumberFormat="1" applyFont="1" applyFill="1" applyBorder="1" applyAlignment="1" applyProtection="1">
      <alignment/>
      <protection hidden="1"/>
    </xf>
    <xf numFmtId="0" fontId="16" fillId="5" borderId="38" xfId="0" applyFont="1" applyFill="1" applyBorder="1" applyAlignment="1" applyProtection="1">
      <alignment/>
      <protection hidden="1"/>
    </xf>
    <xf numFmtId="165" fontId="16" fillId="4" borderId="23" xfId="0" applyNumberFormat="1" applyFont="1" applyFill="1" applyBorder="1" applyAlignment="1" applyProtection="1">
      <alignment/>
      <protection hidden="1"/>
    </xf>
    <xf numFmtId="0" fontId="27" fillId="5" borderId="0" xfId="0" applyFont="1" applyFill="1" applyBorder="1" applyAlignment="1" applyProtection="1">
      <alignment horizontal="center"/>
      <protection hidden="1"/>
    </xf>
    <xf numFmtId="0" fontId="16" fillId="5" borderId="8" xfId="0" applyFont="1" applyFill="1" applyBorder="1" applyAlignment="1" applyProtection="1">
      <alignment/>
      <protection hidden="1"/>
    </xf>
    <xf numFmtId="0" fontId="16" fillId="5" borderId="9" xfId="0" applyFont="1" applyFill="1" applyBorder="1" applyAlignment="1" applyProtection="1">
      <alignment/>
      <protection hidden="1"/>
    </xf>
    <xf numFmtId="0" fontId="25" fillId="5" borderId="9" xfId="0" applyFont="1" applyFill="1" applyBorder="1" applyAlignment="1" applyProtection="1">
      <alignment horizontal="center"/>
      <protection hidden="1"/>
    </xf>
    <xf numFmtId="0" fontId="16" fillId="5" borderId="10" xfId="0" applyFont="1" applyFill="1" applyBorder="1" applyAlignment="1" applyProtection="1">
      <alignment/>
      <protection hidden="1"/>
    </xf>
    <xf numFmtId="0" fontId="29" fillId="4" borderId="0" xfId="0" applyFont="1" applyFill="1" applyAlignment="1" applyProtection="1">
      <alignment/>
      <protection hidden="1"/>
    </xf>
    <xf numFmtId="0" fontId="30" fillId="4" borderId="0" xfId="0" applyFont="1" applyFill="1" applyAlignment="1" applyProtection="1">
      <alignment/>
      <protection hidden="1"/>
    </xf>
    <xf numFmtId="0" fontId="14" fillId="0" borderId="0" xfId="0" applyFont="1" applyFill="1" applyBorder="1" applyAlignment="1" applyProtection="1">
      <alignment wrapText="1"/>
      <protection hidden="1"/>
    </xf>
    <xf numFmtId="0" fontId="28" fillId="5" borderId="0" xfId="0" applyFont="1" applyFill="1" applyBorder="1" applyAlignment="1" applyProtection="1">
      <alignment wrapText="1"/>
      <protection hidden="1"/>
    </xf>
    <xf numFmtId="0" fontId="16" fillId="0" borderId="0" xfId="0" applyFont="1" applyFill="1" applyBorder="1" applyAlignment="1" applyProtection="1">
      <alignment/>
      <protection hidden="1"/>
    </xf>
    <xf numFmtId="3" fontId="16" fillId="0" borderId="0" xfId="0" applyNumberFormat="1" applyFont="1" applyFill="1" applyBorder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16" fillId="0" borderId="6" xfId="0" applyFont="1" applyFill="1" applyBorder="1" applyAlignment="1" applyProtection="1">
      <alignment/>
      <protection hidden="1"/>
    </xf>
    <xf numFmtId="0" fontId="16" fillId="0" borderId="7" xfId="0" applyFont="1" applyFill="1" applyBorder="1" applyAlignment="1" applyProtection="1">
      <alignment/>
      <protection hidden="1"/>
    </xf>
    <xf numFmtId="4" fontId="16" fillId="0" borderId="11" xfId="0" applyNumberFormat="1" applyFont="1" applyFill="1" applyBorder="1" applyAlignment="1" applyProtection="1">
      <alignment/>
      <protection hidden="1" locked="0"/>
    </xf>
    <xf numFmtId="0" fontId="17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/>
      <protection hidden="1" locked="0"/>
    </xf>
    <xf numFmtId="3" fontId="14" fillId="0" borderId="0" xfId="0" applyNumberFormat="1" applyFont="1" applyFill="1" applyBorder="1" applyAlignment="1" applyProtection="1">
      <alignment/>
      <protection hidden="1"/>
    </xf>
    <xf numFmtId="0" fontId="16" fillId="0" borderId="1" xfId="0" applyFont="1" applyFill="1" applyBorder="1" applyAlignment="1" applyProtection="1">
      <alignment/>
      <protection hidden="1"/>
    </xf>
    <xf numFmtId="0" fontId="16" fillId="0" borderId="2" xfId="0" applyFont="1" applyFill="1" applyBorder="1" applyAlignment="1" applyProtection="1">
      <alignment/>
      <protection hidden="1"/>
    </xf>
    <xf numFmtId="0" fontId="16" fillId="0" borderId="3" xfId="0" applyFont="1" applyFill="1" applyBorder="1" applyAlignment="1" applyProtection="1">
      <alignment/>
      <protection hidden="1"/>
    </xf>
    <xf numFmtId="0" fontId="16" fillId="0" borderId="4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6" fillId="0" borderId="5" xfId="0" applyFont="1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24" fillId="0" borderId="4" xfId="0" applyFont="1" applyFill="1" applyBorder="1" applyAlignment="1" applyProtection="1">
      <alignment horizontal="left"/>
      <protection hidden="1"/>
    </xf>
    <xf numFmtId="0" fontId="16" fillId="0" borderId="29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/>
      <protection hidden="1"/>
    </xf>
    <xf numFmtId="10" fontId="16" fillId="0" borderId="12" xfId="0" applyNumberFormat="1" applyFont="1" applyFill="1" applyBorder="1" applyAlignment="1" applyProtection="1">
      <alignment/>
      <protection hidden="1" locked="0"/>
    </xf>
    <xf numFmtId="4" fontId="16" fillId="0" borderId="0" xfId="0" applyNumberFormat="1" applyFont="1" applyFill="1" applyBorder="1" applyAlignment="1" applyProtection="1">
      <alignment horizontal="right"/>
      <protection hidden="1"/>
    </xf>
    <xf numFmtId="0" fontId="17" fillId="0" borderId="0" xfId="0" applyFont="1" applyFill="1" applyBorder="1" applyAlignment="1" applyProtection="1">
      <alignment horizontal="center"/>
      <protection hidden="1" locked="0"/>
    </xf>
    <xf numFmtId="0" fontId="16" fillId="0" borderId="6" xfId="0" applyFont="1" applyFill="1" applyBorder="1" applyAlignment="1" applyProtection="1">
      <alignment horizontal="left"/>
      <protection hidden="1"/>
    </xf>
    <xf numFmtId="0" fontId="16" fillId="0" borderId="7" xfId="0" applyFont="1" applyFill="1" applyBorder="1" applyAlignment="1" applyProtection="1">
      <alignment horizontal="left"/>
      <protection hidden="1"/>
    </xf>
    <xf numFmtId="10" fontId="16" fillId="0" borderId="0" xfId="0" applyNumberFormat="1" applyFont="1" applyFill="1" applyBorder="1" applyAlignment="1" applyProtection="1">
      <alignment horizontal="right"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16" fillId="0" borderId="8" xfId="0" applyFont="1" applyFill="1" applyBorder="1" applyAlignment="1" applyProtection="1">
      <alignment/>
      <protection hidden="1"/>
    </xf>
    <xf numFmtId="0" fontId="16" fillId="0" borderId="9" xfId="0" applyFont="1" applyFill="1" applyBorder="1" applyAlignment="1" applyProtection="1">
      <alignment/>
      <protection hidden="1"/>
    </xf>
    <xf numFmtId="0" fontId="25" fillId="0" borderId="9" xfId="0" applyFont="1" applyFill="1" applyBorder="1" applyAlignment="1" applyProtection="1">
      <alignment horizontal="center"/>
      <protection hidden="1"/>
    </xf>
    <xf numFmtId="0" fontId="16" fillId="0" borderId="10" xfId="0" applyFont="1" applyFill="1" applyBorder="1" applyAlignment="1" applyProtection="1">
      <alignment/>
      <protection hidden="1"/>
    </xf>
    <xf numFmtId="9" fontId="16" fillId="8" borderId="12" xfId="0" applyNumberFormat="1" applyFont="1" applyFill="1" applyBorder="1" applyAlignment="1" applyProtection="1">
      <alignment/>
      <protection hidden="1"/>
    </xf>
    <xf numFmtId="4" fontId="14" fillId="8" borderId="11" xfId="0" applyNumberFormat="1" applyFont="1" applyFill="1" applyBorder="1" applyAlignment="1" applyProtection="1">
      <alignment/>
      <protection hidden="1"/>
    </xf>
    <xf numFmtId="10" fontId="16" fillId="8" borderId="30" xfId="0" applyNumberFormat="1" applyFont="1" applyFill="1" applyBorder="1" applyAlignment="1" applyProtection="1">
      <alignment/>
      <protection hidden="1"/>
    </xf>
    <xf numFmtId="4" fontId="16" fillId="8" borderId="11" xfId="0" applyNumberFormat="1" applyFont="1" applyFill="1" applyBorder="1" applyAlignment="1" applyProtection="1">
      <alignment/>
      <protection hidden="1"/>
    </xf>
    <xf numFmtId="10" fontId="16" fillId="8" borderId="12" xfId="0" applyNumberFormat="1" applyFont="1" applyFill="1" applyBorder="1" applyAlignment="1" applyProtection="1">
      <alignment horizontal="right"/>
      <protection hidden="1"/>
    </xf>
    <xf numFmtId="3" fontId="16" fillId="8" borderId="11" xfId="0" applyNumberFormat="1" applyFont="1" applyFill="1" applyBorder="1" applyAlignment="1" applyProtection="1">
      <alignment/>
      <protection hidden="1"/>
    </xf>
    <xf numFmtId="3" fontId="16" fillId="8" borderId="12" xfId="0" applyNumberFormat="1" applyFont="1" applyFill="1" applyBorder="1" applyAlignment="1" applyProtection="1">
      <alignment/>
      <protection hidden="1"/>
    </xf>
    <xf numFmtId="0" fontId="16" fillId="0" borderId="39" xfId="0" applyFont="1" applyFill="1" applyBorder="1" applyAlignment="1" applyProtection="1">
      <alignment/>
      <protection hidden="1"/>
    </xf>
    <xf numFmtId="0" fontId="16" fillId="8" borderId="11" xfId="0" applyFont="1" applyFill="1" applyBorder="1" applyAlignment="1" applyProtection="1">
      <alignment/>
      <protection hidden="1"/>
    </xf>
    <xf numFmtId="0" fontId="14" fillId="0" borderId="40" xfId="0" applyFont="1" applyFill="1" applyBorder="1" applyAlignment="1" applyProtection="1">
      <alignment horizontal="right"/>
      <protection hidden="1" locked="0"/>
    </xf>
    <xf numFmtId="4" fontId="14" fillId="5" borderId="11" xfId="0" applyNumberFormat="1" applyFont="1" applyFill="1" applyBorder="1" applyAlignment="1" applyProtection="1">
      <alignment/>
      <protection hidden="1" locked="0"/>
    </xf>
    <xf numFmtId="4" fontId="14" fillId="0" borderId="11" xfId="0" applyNumberFormat="1" applyFont="1" applyFill="1" applyBorder="1" applyAlignment="1" applyProtection="1">
      <alignment/>
      <protection hidden="1" locked="0"/>
    </xf>
    <xf numFmtId="165" fontId="32" fillId="7" borderId="11" xfId="0" applyNumberFormat="1" applyFont="1" applyFill="1" applyBorder="1" applyAlignment="1" applyProtection="1">
      <alignment/>
      <protection hidden="1"/>
    </xf>
    <xf numFmtId="165" fontId="32" fillId="8" borderId="11" xfId="0" applyNumberFormat="1" applyFont="1" applyFill="1" applyBorder="1" applyAlignment="1" applyProtection="1">
      <alignment/>
      <protection hidden="1"/>
    </xf>
    <xf numFmtId="0" fontId="16" fillId="9" borderId="0" xfId="0" applyFont="1" applyFill="1" applyAlignment="1" applyProtection="1">
      <alignment/>
      <protection hidden="1"/>
    </xf>
    <xf numFmtId="0" fontId="24" fillId="9" borderId="0" xfId="0" applyFont="1" applyFill="1" applyAlignment="1" applyProtection="1">
      <alignment/>
      <protection hidden="1"/>
    </xf>
    <xf numFmtId="0" fontId="24" fillId="9" borderId="13" xfId="0" applyFont="1" applyFill="1" applyBorder="1" applyAlignment="1" applyProtection="1">
      <alignment/>
      <protection hidden="1"/>
    </xf>
    <xf numFmtId="0" fontId="24" fillId="9" borderId="22" xfId="0" applyFont="1" applyFill="1" applyBorder="1" applyAlignment="1" applyProtection="1">
      <alignment/>
      <protection hidden="1"/>
    </xf>
    <xf numFmtId="0" fontId="16" fillId="9" borderId="13" xfId="0" applyFont="1" applyFill="1" applyBorder="1" applyAlignment="1" applyProtection="1">
      <alignment/>
      <protection hidden="1"/>
    </xf>
    <xf numFmtId="0" fontId="16" fillId="9" borderId="22" xfId="0" applyFont="1" applyFill="1" applyBorder="1" applyAlignment="1" applyProtection="1">
      <alignment/>
      <protection hidden="1"/>
    </xf>
    <xf numFmtId="0" fontId="16" fillId="9" borderId="7" xfId="0" applyFont="1" applyFill="1" applyBorder="1" applyAlignment="1" applyProtection="1">
      <alignment/>
      <protection hidden="1"/>
    </xf>
    <xf numFmtId="0" fontId="26" fillId="9" borderId="21" xfId="0" applyFont="1" applyFill="1" applyBorder="1" applyAlignment="1" applyProtection="1">
      <alignment/>
      <protection hidden="1"/>
    </xf>
    <xf numFmtId="0" fontId="16" fillId="9" borderId="37" xfId="0" applyFont="1" applyFill="1" applyBorder="1" applyAlignment="1" applyProtection="1">
      <alignment/>
      <protection hidden="1"/>
    </xf>
    <xf numFmtId="2" fontId="16" fillId="9" borderId="0" xfId="0" applyNumberFormat="1" applyFont="1" applyFill="1" applyBorder="1" applyAlignment="1" applyProtection="1">
      <alignment/>
      <protection hidden="1"/>
    </xf>
    <xf numFmtId="0" fontId="16" fillId="9" borderId="23" xfId="0" applyFont="1" applyFill="1" applyBorder="1" applyAlignment="1" applyProtection="1">
      <alignment/>
      <protection hidden="1"/>
    </xf>
    <xf numFmtId="0" fontId="16" fillId="9" borderId="33" xfId="0" applyFont="1" applyFill="1" applyBorder="1" applyAlignment="1" applyProtection="1">
      <alignment/>
      <protection hidden="1"/>
    </xf>
    <xf numFmtId="0" fontId="16" fillId="9" borderId="0" xfId="0" applyFont="1" applyFill="1" applyBorder="1" applyAlignment="1" applyProtection="1">
      <alignment/>
      <protection hidden="1"/>
    </xf>
    <xf numFmtId="0" fontId="16" fillId="9" borderId="34" xfId="0" applyFont="1" applyFill="1" applyBorder="1" applyAlignment="1" applyProtection="1">
      <alignment/>
      <protection hidden="1"/>
    </xf>
    <xf numFmtId="0" fontId="16" fillId="9" borderId="36" xfId="0" applyFont="1" applyFill="1" applyBorder="1" applyAlignment="1" applyProtection="1">
      <alignment/>
      <protection hidden="1"/>
    </xf>
    <xf numFmtId="0" fontId="30" fillId="9" borderId="0" xfId="0" applyFont="1" applyFill="1" applyAlignment="1" applyProtection="1">
      <alignment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7" fillId="0" borderId="41" xfId="0" applyFont="1" applyFill="1" applyBorder="1" applyAlignment="1" applyProtection="1">
      <alignment horizontal="center"/>
      <protection hidden="1"/>
    </xf>
    <xf numFmtId="0" fontId="16" fillId="0" borderId="41" xfId="0" applyFont="1" applyFill="1" applyBorder="1" applyAlignment="1" applyProtection="1">
      <alignment/>
      <protection hidden="1"/>
    </xf>
    <xf numFmtId="0" fontId="16" fillId="0" borderId="42" xfId="0" applyFont="1" applyFill="1" applyBorder="1" applyAlignment="1" applyProtection="1">
      <alignment/>
      <protection hidden="1"/>
    </xf>
    <xf numFmtId="0" fontId="16" fillId="0" borderId="43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34" fillId="0" borderId="0" xfId="0" applyFont="1" applyFill="1" applyBorder="1" applyAlignment="1" applyProtection="1">
      <alignment wrapText="1"/>
      <protection hidden="1"/>
    </xf>
    <xf numFmtId="0" fontId="12" fillId="5" borderId="2" xfId="0" applyFont="1" applyFill="1" applyBorder="1" applyAlignment="1" applyProtection="1">
      <alignment/>
      <protection hidden="1"/>
    </xf>
    <xf numFmtId="0" fontId="12" fillId="5" borderId="0" xfId="0" applyFont="1" applyFill="1" applyBorder="1" applyAlignment="1" applyProtection="1">
      <alignment/>
      <protection hidden="1"/>
    </xf>
    <xf numFmtId="0" fontId="16" fillId="0" borderId="44" xfId="0" applyFont="1" applyFill="1" applyBorder="1" applyAlignment="1" applyProtection="1">
      <alignment/>
      <protection hidden="1"/>
    </xf>
    <xf numFmtId="0" fontId="16" fillId="0" borderId="45" xfId="0" applyFont="1" applyFill="1" applyBorder="1" applyAlignment="1" applyProtection="1">
      <alignment/>
      <protection hidden="1"/>
    </xf>
    <xf numFmtId="0" fontId="16" fillId="10" borderId="0" xfId="0" applyFont="1" applyFill="1" applyAlignment="1" applyProtection="1">
      <alignment/>
      <protection hidden="1"/>
    </xf>
    <xf numFmtId="0" fontId="24" fillId="10" borderId="0" xfId="0" applyFont="1" applyFill="1" applyAlignment="1" applyProtection="1">
      <alignment/>
      <protection hidden="1"/>
    </xf>
    <xf numFmtId="0" fontId="24" fillId="10" borderId="13" xfId="0" applyFont="1" applyFill="1" applyBorder="1" applyAlignment="1" applyProtection="1">
      <alignment/>
      <protection hidden="1"/>
    </xf>
    <xf numFmtId="0" fontId="16" fillId="10" borderId="13" xfId="0" applyFont="1" applyFill="1" applyBorder="1" applyAlignment="1" applyProtection="1">
      <alignment/>
      <protection hidden="1"/>
    </xf>
    <xf numFmtId="0" fontId="16" fillId="10" borderId="22" xfId="0" applyFont="1" applyFill="1" applyBorder="1" applyAlignment="1" applyProtection="1">
      <alignment/>
      <protection hidden="1"/>
    </xf>
    <xf numFmtId="0" fontId="16" fillId="10" borderId="0" xfId="0" applyFont="1" applyFill="1" applyBorder="1" applyAlignment="1" applyProtection="1">
      <alignment/>
      <protection hidden="1"/>
    </xf>
    <xf numFmtId="0" fontId="26" fillId="10" borderId="21" xfId="0" applyFont="1" applyFill="1" applyBorder="1" applyAlignment="1" applyProtection="1">
      <alignment/>
      <protection hidden="1"/>
    </xf>
    <xf numFmtId="0" fontId="16" fillId="10" borderId="37" xfId="0" applyFont="1" applyFill="1" applyBorder="1" applyAlignment="1" applyProtection="1">
      <alignment/>
      <protection hidden="1"/>
    </xf>
    <xf numFmtId="2" fontId="16" fillId="10" borderId="0" xfId="0" applyNumberFormat="1" applyFont="1" applyFill="1" applyBorder="1" applyAlignment="1" applyProtection="1">
      <alignment/>
      <protection hidden="1"/>
    </xf>
    <xf numFmtId="3" fontId="35" fillId="10" borderId="0" xfId="0" applyNumberFormat="1" applyFont="1" applyFill="1" applyBorder="1" applyAlignment="1" applyProtection="1">
      <alignment/>
      <protection hidden="1"/>
    </xf>
    <xf numFmtId="0" fontId="16" fillId="10" borderId="23" xfId="0" applyFont="1" applyFill="1" applyBorder="1" applyAlignment="1" applyProtection="1">
      <alignment/>
      <protection hidden="1"/>
    </xf>
    <xf numFmtId="0" fontId="16" fillId="10" borderId="33" xfId="0" applyFont="1" applyFill="1" applyBorder="1" applyAlignment="1" applyProtection="1">
      <alignment/>
      <protection hidden="1"/>
    </xf>
    <xf numFmtId="0" fontId="16" fillId="10" borderId="34" xfId="0" applyFont="1" applyFill="1" applyBorder="1" applyAlignment="1" applyProtection="1">
      <alignment/>
      <protection hidden="1"/>
    </xf>
    <xf numFmtId="0" fontId="16" fillId="10" borderId="36" xfId="0" applyFont="1" applyFill="1" applyBorder="1" applyAlignment="1" applyProtection="1">
      <alignment/>
      <protection hidden="1"/>
    </xf>
    <xf numFmtId="0" fontId="30" fillId="10" borderId="0" xfId="0" applyFont="1" applyFill="1" applyAlignment="1" applyProtection="1">
      <alignment/>
      <protection hidden="1"/>
    </xf>
    <xf numFmtId="0" fontId="16" fillId="0" borderId="46" xfId="0" applyFont="1" applyFill="1" applyBorder="1" applyAlignment="1" applyProtection="1">
      <alignment/>
      <protection hidden="1"/>
    </xf>
    <xf numFmtId="0" fontId="9" fillId="6" borderId="0" xfId="0" applyFont="1" applyFill="1" applyBorder="1" applyAlignment="1" applyProtection="1">
      <alignment/>
      <protection hidden="1"/>
    </xf>
    <xf numFmtId="0" fontId="23" fillId="6" borderId="0" xfId="0" applyFont="1" applyFill="1" applyBorder="1" applyAlignment="1" applyProtection="1">
      <alignment/>
      <protection hidden="1"/>
    </xf>
    <xf numFmtId="0" fontId="2" fillId="6" borderId="34" xfId="0" applyFont="1" applyFill="1" applyBorder="1" applyAlignment="1" applyProtection="1">
      <alignment/>
      <protection hidden="1"/>
    </xf>
    <xf numFmtId="3" fontId="2" fillId="6" borderId="0" xfId="0" applyNumberFormat="1" applyFont="1" applyFill="1" applyBorder="1" applyAlignment="1" applyProtection="1">
      <alignment/>
      <protection hidden="1"/>
    </xf>
    <xf numFmtId="0" fontId="2" fillId="6" borderId="23" xfId="0" applyFont="1" applyFill="1" applyBorder="1" applyAlignment="1" applyProtection="1">
      <alignment/>
      <protection hidden="1"/>
    </xf>
    <xf numFmtId="0" fontId="2" fillId="6" borderId="35" xfId="0" applyFont="1" applyFill="1" applyBorder="1" applyAlignment="1" applyProtection="1">
      <alignment/>
      <protection hidden="1"/>
    </xf>
    <xf numFmtId="0" fontId="2" fillId="6" borderId="36" xfId="0" applyFont="1" applyFill="1" applyBorder="1" applyAlignment="1" applyProtection="1">
      <alignment/>
      <protection hidden="1"/>
    </xf>
    <xf numFmtId="0" fontId="2" fillId="6" borderId="33" xfId="0" applyFont="1" applyFill="1" applyBorder="1" applyAlignment="1" applyProtection="1">
      <alignment/>
      <protection hidden="1"/>
    </xf>
    <xf numFmtId="0" fontId="8" fillId="6" borderId="21" xfId="0" applyFont="1" applyFill="1" applyBorder="1" applyAlignment="1" applyProtection="1">
      <alignment/>
      <protection hidden="1"/>
    </xf>
    <xf numFmtId="0" fontId="2" fillId="6" borderId="37" xfId="0" applyFont="1" applyFill="1" applyBorder="1" applyAlignment="1" applyProtection="1">
      <alignment/>
      <protection hidden="1"/>
    </xf>
    <xf numFmtId="9" fontId="2" fillId="6" borderId="7" xfId="0" applyNumberFormat="1" applyFont="1" applyFill="1" applyBorder="1" applyAlignment="1" applyProtection="1">
      <alignment horizontal="right"/>
      <protection hidden="1"/>
    </xf>
    <xf numFmtId="165" fontId="16" fillId="5" borderId="47" xfId="0" applyNumberFormat="1" applyFont="1" applyFill="1" applyBorder="1" applyAlignment="1" applyProtection="1">
      <alignment/>
      <protection hidden="1" locked="0"/>
    </xf>
    <xf numFmtId="4" fontId="16" fillId="7" borderId="48" xfId="0" applyNumberFormat="1" applyFont="1" applyFill="1" applyBorder="1" applyAlignment="1" applyProtection="1">
      <alignment/>
      <protection hidden="1"/>
    </xf>
    <xf numFmtId="3" fontId="16" fillId="7" borderId="48" xfId="0" applyNumberFormat="1" applyFont="1" applyFill="1" applyBorder="1" applyAlignment="1" applyProtection="1">
      <alignment/>
      <protection hidden="1"/>
    </xf>
    <xf numFmtId="0" fontId="16" fillId="0" borderId="49" xfId="0" applyFont="1" applyFill="1" applyBorder="1" applyAlignment="1" applyProtection="1">
      <alignment/>
      <protection hidden="1" locked="0"/>
    </xf>
    <xf numFmtId="0" fontId="2" fillId="3" borderId="47" xfId="0" applyFont="1" applyFill="1" applyBorder="1" applyAlignment="1" applyProtection="1">
      <alignment/>
      <protection hidden="1" locked="0"/>
    </xf>
    <xf numFmtId="165" fontId="14" fillId="8" borderId="11" xfId="0" applyNumberFormat="1" applyFont="1" applyFill="1" applyBorder="1" applyAlignment="1" applyProtection="1">
      <alignment horizontal="right"/>
      <protection hidden="1"/>
    </xf>
    <xf numFmtId="0" fontId="14" fillId="0" borderId="40" xfId="0" applyNumberFormat="1" applyFont="1" applyFill="1" applyBorder="1" applyAlignment="1" applyProtection="1">
      <alignment horizontal="right"/>
      <protection hidden="1" locked="0"/>
    </xf>
    <xf numFmtId="0" fontId="14" fillId="5" borderId="11" xfId="0" applyNumberFormat="1" applyFont="1" applyFill="1" applyBorder="1" applyAlignment="1" applyProtection="1">
      <alignment/>
      <protection hidden="1" locked="0"/>
    </xf>
    <xf numFmtId="166" fontId="2" fillId="2" borderId="0" xfId="0" applyNumberFormat="1" applyFont="1" applyFill="1" applyBorder="1" applyAlignment="1" applyProtection="1">
      <alignment horizontal="left" vertical="top" wrapText="1"/>
      <protection hidden="1"/>
    </xf>
    <xf numFmtId="0" fontId="21" fillId="6" borderId="0" xfId="0" applyFont="1" applyFill="1" applyBorder="1" applyAlignment="1" applyProtection="1">
      <alignment/>
      <protection hidden="1"/>
    </xf>
    <xf numFmtId="0" fontId="8" fillId="11" borderId="21" xfId="0" applyFont="1" applyFill="1" applyBorder="1" applyAlignment="1" applyProtection="1">
      <alignment/>
      <protection hidden="1"/>
    </xf>
    <xf numFmtId="0" fontId="2" fillId="11" borderId="33" xfId="0" applyFont="1" applyFill="1" applyBorder="1" applyAlignment="1" applyProtection="1">
      <alignment/>
      <protection hidden="1"/>
    </xf>
    <xf numFmtId="0" fontId="2" fillId="11" borderId="37" xfId="0" applyFont="1" applyFill="1" applyBorder="1" applyAlignment="1" applyProtection="1">
      <alignment/>
      <protection hidden="1"/>
    </xf>
    <xf numFmtId="0" fontId="2" fillId="11" borderId="22" xfId="0" applyFont="1" applyFill="1" applyBorder="1" applyAlignment="1" applyProtection="1">
      <alignment/>
      <protection hidden="1"/>
    </xf>
    <xf numFmtId="0" fontId="9" fillId="11" borderId="0" xfId="0" applyFont="1" applyFill="1" applyBorder="1" applyAlignment="1" applyProtection="1">
      <alignment/>
      <protection hidden="1"/>
    </xf>
    <xf numFmtId="0" fontId="23" fillId="11" borderId="0" xfId="0" applyFont="1" applyFill="1" applyBorder="1" applyAlignment="1" applyProtection="1">
      <alignment/>
      <protection hidden="1"/>
    </xf>
    <xf numFmtId="0" fontId="2" fillId="11" borderId="0" xfId="0" applyFont="1" applyFill="1" applyBorder="1" applyAlignment="1" applyProtection="1">
      <alignment/>
      <protection hidden="1"/>
    </xf>
    <xf numFmtId="0" fontId="2" fillId="11" borderId="34" xfId="0" applyFont="1" applyFill="1" applyBorder="1" applyAlignment="1" applyProtection="1">
      <alignment/>
      <protection hidden="1"/>
    </xf>
    <xf numFmtId="0" fontId="2" fillId="11" borderId="19" xfId="0" applyFont="1" applyFill="1" applyBorder="1" applyAlignment="1" applyProtection="1">
      <alignment horizontal="right"/>
      <protection hidden="1"/>
    </xf>
    <xf numFmtId="0" fontId="2" fillId="11" borderId="6" xfId="0" applyFont="1" applyFill="1" applyBorder="1" applyAlignment="1" applyProtection="1">
      <alignment horizontal="left"/>
      <protection hidden="1"/>
    </xf>
    <xf numFmtId="0" fontId="2" fillId="11" borderId="13" xfId="0" applyFont="1" applyFill="1" applyBorder="1" applyAlignment="1" applyProtection="1">
      <alignment/>
      <protection hidden="1"/>
    </xf>
    <xf numFmtId="9" fontId="2" fillId="11" borderId="7" xfId="0" applyNumberFormat="1" applyFont="1" applyFill="1" applyBorder="1" applyAlignment="1" applyProtection="1">
      <alignment horizontal="right"/>
      <protection hidden="1"/>
    </xf>
    <xf numFmtId="49" fontId="2" fillId="11" borderId="13" xfId="0" applyNumberFormat="1" applyFont="1" applyFill="1" applyBorder="1" applyAlignment="1" applyProtection="1">
      <alignment/>
      <protection hidden="1"/>
    </xf>
    <xf numFmtId="49" fontId="2" fillId="11" borderId="13" xfId="0" applyNumberFormat="1" applyFont="1" applyFill="1" applyBorder="1" applyAlignment="1" applyProtection="1">
      <alignment horizontal="left"/>
      <protection hidden="1"/>
    </xf>
    <xf numFmtId="165" fontId="2" fillId="11" borderId="0" xfId="0" applyNumberFormat="1" applyFont="1" applyFill="1" applyBorder="1" applyAlignment="1" applyProtection="1">
      <alignment/>
      <protection hidden="1"/>
    </xf>
    <xf numFmtId="165" fontId="2" fillId="11" borderId="13" xfId="0" applyNumberFormat="1" applyFont="1" applyFill="1" applyBorder="1" applyAlignment="1" applyProtection="1">
      <alignment/>
      <protection hidden="1"/>
    </xf>
    <xf numFmtId="49" fontId="2" fillId="11" borderId="0" xfId="0" applyNumberFormat="1" applyFont="1" applyFill="1" applyBorder="1" applyAlignment="1" applyProtection="1">
      <alignment/>
      <protection hidden="1"/>
    </xf>
    <xf numFmtId="9" fontId="2" fillId="11" borderId="20" xfId="0" applyNumberFormat="1" applyFont="1" applyFill="1" applyBorder="1" applyAlignment="1" applyProtection="1">
      <alignment horizontal="left"/>
      <protection hidden="1"/>
    </xf>
    <xf numFmtId="9" fontId="2" fillId="11" borderId="0" xfId="0" applyNumberFormat="1" applyFont="1" applyFill="1" applyBorder="1" applyAlignment="1" applyProtection="1">
      <alignment horizontal="left"/>
      <protection hidden="1"/>
    </xf>
    <xf numFmtId="0" fontId="2" fillId="11" borderId="0" xfId="0" applyFont="1" applyFill="1" applyBorder="1" applyAlignment="1" applyProtection="1">
      <alignment horizontal="right"/>
      <protection hidden="1"/>
    </xf>
    <xf numFmtId="0" fontId="2" fillId="11" borderId="23" xfId="0" applyFont="1" applyFill="1" applyBorder="1" applyAlignment="1" applyProtection="1">
      <alignment/>
      <protection hidden="1"/>
    </xf>
    <xf numFmtId="0" fontId="2" fillId="11" borderId="35" xfId="0" applyFont="1" applyFill="1" applyBorder="1" applyAlignment="1" applyProtection="1">
      <alignment/>
      <protection hidden="1"/>
    </xf>
    <xf numFmtId="0" fontId="2" fillId="11" borderId="36" xfId="0" applyFont="1" applyFill="1" applyBorder="1" applyAlignment="1" applyProtection="1">
      <alignment/>
      <protection hidden="1"/>
    </xf>
    <xf numFmtId="0" fontId="2" fillId="11" borderId="0" xfId="0" applyFont="1" applyFill="1" applyAlignment="1" applyProtection="1">
      <alignment/>
      <protection hidden="1"/>
    </xf>
    <xf numFmtId="49" fontId="21" fillId="11" borderId="0" xfId="0" applyNumberFormat="1" applyFont="1" applyFill="1" applyBorder="1" applyAlignment="1" applyProtection="1">
      <alignment/>
      <protection hidden="1"/>
    </xf>
    <xf numFmtId="0" fontId="21" fillId="11" borderId="0" xfId="0" applyFont="1" applyFill="1" applyBorder="1" applyAlignment="1" applyProtection="1">
      <alignment/>
      <protection hidden="1"/>
    </xf>
    <xf numFmtId="0" fontId="40" fillId="11" borderId="0" xfId="0" applyFont="1" applyFill="1" applyBorder="1" applyAlignment="1" applyProtection="1">
      <alignment/>
      <protection hidden="1"/>
    </xf>
    <xf numFmtId="0" fontId="40" fillId="11" borderId="0" xfId="0" applyFont="1" applyFill="1" applyBorder="1" applyAlignment="1" applyProtection="1">
      <alignment horizontal="left"/>
      <protection hidden="1"/>
    </xf>
    <xf numFmtId="49" fontId="21" fillId="6" borderId="0" xfId="0" applyNumberFormat="1" applyFont="1" applyFill="1" applyBorder="1" applyAlignment="1" applyProtection="1">
      <alignment/>
      <protection hidden="1"/>
    </xf>
    <xf numFmtId="0" fontId="40" fillId="6" borderId="0" xfId="0" applyFont="1" applyFill="1" applyBorder="1" applyAlignment="1" applyProtection="1">
      <alignment/>
      <protection hidden="1"/>
    </xf>
    <xf numFmtId="0" fontId="40" fillId="6" borderId="0" xfId="0" applyFont="1" applyFill="1" applyBorder="1" applyAlignment="1" applyProtection="1">
      <alignment horizontal="left"/>
      <protection hidden="1"/>
    </xf>
    <xf numFmtId="0" fontId="2" fillId="11" borderId="21" xfId="0" applyFont="1" applyFill="1" applyBorder="1" applyAlignment="1" applyProtection="1">
      <alignment/>
      <protection hidden="1"/>
    </xf>
    <xf numFmtId="9" fontId="2" fillId="11" borderId="22" xfId="0" applyNumberFormat="1" applyFont="1" applyFill="1" applyBorder="1" applyAlignment="1" applyProtection="1">
      <alignment horizontal="left"/>
      <protection hidden="1"/>
    </xf>
    <xf numFmtId="0" fontId="2" fillId="11" borderId="0" xfId="0" applyFont="1" applyFill="1" applyBorder="1" applyAlignment="1" applyProtection="1">
      <alignment/>
      <protection hidden="1"/>
    </xf>
    <xf numFmtId="165" fontId="2" fillId="11" borderId="22" xfId="0" applyNumberFormat="1" applyFont="1" applyFill="1" applyBorder="1" applyAlignment="1" applyProtection="1">
      <alignment/>
      <protection hidden="1"/>
    </xf>
    <xf numFmtId="0" fontId="2" fillId="11" borderId="6" xfId="0" applyFont="1" applyFill="1" applyBorder="1" applyAlignment="1" applyProtection="1">
      <alignment/>
      <protection hidden="1"/>
    </xf>
    <xf numFmtId="9" fontId="2" fillId="11" borderId="7" xfId="0" applyNumberFormat="1" applyFont="1" applyFill="1" applyBorder="1" applyAlignment="1" applyProtection="1">
      <alignment/>
      <protection hidden="1"/>
    </xf>
    <xf numFmtId="4" fontId="20" fillId="5" borderId="0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5" borderId="0" xfId="0" applyFont="1" applyFill="1" applyBorder="1" applyAlignment="1" applyProtection="1">
      <alignment horizontal="left"/>
      <protection hidden="1"/>
    </xf>
    <xf numFmtId="0" fontId="18" fillId="5" borderId="0" xfId="0" applyFont="1" applyFill="1" applyBorder="1" applyAlignment="1" applyProtection="1">
      <alignment vertical="center"/>
      <protection hidden="1"/>
    </xf>
    <xf numFmtId="0" fontId="16" fillId="5" borderId="50" xfId="0" applyFont="1" applyFill="1" applyBorder="1" applyAlignment="1" applyProtection="1">
      <alignment/>
      <protection hidden="1"/>
    </xf>
    <xf numFmtId="0" fontId="16" fillId="5" borderId="51" xfId="0" applyFont="1" applyFill="1" applyBorder="1" applyAlignment="1" applyProtection="1">
      <alignment/>
      <protection hidden="1"/>
    </xf>
    <xf numFmtId="0" fontId="24" fillId="5" borderId="8" xfId="0" applyFont="1" applyFill="1" applyBorder="1" applyAlignment="1" applyProtection="1">
      <alignment horizontal="left"/>
      <protection hidden="1"/>
    </xf>
    <xf numFmtId="4" fontId="16" fillId="0" borderId="52" xfId="0" applyNumberFormat="1" applyFont="1" applyFill="1" applyBorder="1" applyAlignment="1" applyProtection="1">
      <alignment/>
      <protection hidden="1"/>
    </xf>
    <xf numFmtId="3" fontId="16" fillId="0" borderId="52" xfId="0" applyNumberFormat="1" applyFont="1" applyFill="1" applyBorder="1" applyAlignment="1" applyProtection="1">
      <alignment/>
      <protection hidden="1"/>
    </xf>
    <xf numFmtId="0" fontId="34" fillId="0" borderId="9" xfId="0" applyFont="1" applyFill="1" applyBorder="1" applyAlignment="1" applyProtection="1">
      <alignment horizontal="left" wrapText="1"/>
      <protection hidden="1"/>
    </xf>
    <xf numFmtId="0" fontId="24" fillId="5" borderId="53" xfId="0" applyFont="1" applyFill="1" applyBorder="1" applyAlignment="1" applyProtection="1">
      <alignment horizontal="left"/>
      <protection hidden="1"/>
    </xf>
    <xf numFmtId="0" fontId="18" fillId="5" borderId="53" xfId="0" applyFont="1" applyFill="1" applyBorder="1" applyAlignment="1" applyProtection="1">
      <alignment vertical="center"/>
      <protection hidden="1"/>
    </xf>
    <xf numFmtId="0" fontId="16" fillId="5" borderId="53" xfId="0" applyFont="1" applyFill="1" applyBorder="1" applyAlignment="1" applyProtection="1">
      <alignment/>
      <protection hidden="1"/>
    </xf>
    <xf numFmtId="0" fontId="24" fillId="5" borderId="31" xfId="0" applyFont="1" applyFill="1" applyBorder="1" applyAlignment="1" applyProtection="1">
      <alignment horizontal="left"/>
      <protection hidden="1"/>
    </xf>
    <xf numFmtId="0" fontId="41" fillId="5" borderId="0" xfId="0" applyFont="1" applyFill="1" applyBorder="1" applyAlignment="1" applyProtection="1">
      <alignment/>
      <protection hidden="1"/>
    </xf>
    <xf numFmtId="0" fontId="32" fillId="5" borderId="0" xfId="0" applyFont="1" applyFill="1" applyBorder="1" applyAlignment="1" applyProtection="1">
      <alignment wrapText="1"/>
      <protection hidden="1"/>
    </xf>
    <xf numFmtId="0" fontId="42" fillId="5" borderId="0" xfId="0" applyFont="1" applyFill="1" applyBorder="1" applyAlignment="1" applyProtection="1">
      <alignment wrapText="1"/>
      <protection hidden="1"/>
    </xf>
    <xf numFmtId="175" fontId="14" fillId="5" borderId="0" xfId="0" applyNumberFormat="1" applyFont="1" applyFill="1" applyBorder="1" applyAlignment="1" applyProtection="1">
      <alignment horizontal="left"/>
      <protection hidden="1"/>
    </xf>
    <xf numFmtId="0" fontId="42" fillId="5" borderId="0" xfId="0" applyFont="1" applyFill="1" applyBorder="1" applyAlignment="1" applyProtection="1">
      <alignment/>
      <protection hidden="1"/>
    </xf>
    <xf numFmtId="3" fontId="16" fillId="5" borderId="30" xfId="0" applyNumberFormat="1" applyFont="1" applyFill="1" applyBorder="1" applyAlignment="1" applyProtection="1">
      <alignment/>
      <protection hidden="1"/>
    </xf>
    <xf numFmtId="175" fontId="14" fillId="5" borderId="39" xfId="0" applyNumberFormat="1" applyFont="1" applyFill="1" applyBorder="1" applyAlignment="1" applyProtection="1">
      <alignment horizontal="left"/>
      <protection hidden="1"/>
    </xf>
    <xf numFmtId="175" fontId="41" fillId="5" borderId="11" xfId="0" applyNumberFormat="1" applyFont="1" applyFill="1" applyBorder="1" applyAlignment="1" applyProtection="1">
      <alignment/>
      <protection hidden="1"/>
    </xf>
    <xf numFmtId="0" fontId="43" fillId="5" borderId="30" xfId="0" applyFont="1" applyFill="1" applyBorder="1" applyAlignment="1" applyProtection="1">
      <alignment horizontal="center"/>
      <protection hidden="1" locked="0"/>
    </xf>
    <xf numFmtId="0" fontId="32" fillId="5" borderId="40" xfId="0" applyFont="1" applyFill="1" applyBorder="1" applyAlignment="1" applyProtection="1">
      <alignment horizontal="right" wrapText="1"/>
      <protection hidden="1"/>
    </xf>
    <xf numFmtId="0" fontId="32" fillId="5" borderId="30" xfId="0" applyFont="1" applyFill="1" applyBorder="1" applyAlignment="1" applyProtection="1">
      <alignment wrapText="1"/>
      <protection hidden="1"/>
    </xf>
    <xf numFmtId="0" fontId="32" fillId="5" borderId="49" xfId="0" applyFont="1" applyFill="1" applyBorder="1" applyAlignment="1" applyProtection="1">
      <alignment wrapText="1"/>
      <protection hidden="1"/>
    </xf>
    <xf numFmtId="0" fontId="14" fillId="5" borderId="54" xfId="0" applyFont="1" applyFill="1" applyBorder="1" applyAlignment="1" applyProtection="1">
      <alignment wrapText="1"/>
      <protection hidden="1"/>
    </xf>
    <xf numFmtId="175" fontId="44" fillId="5" borderId="11" xfId="0" applyNumberFormat="1" applyFont="1" applyFill="1" applyBorder="1" applyAlignment="1" applyProtection="1">
      <alignment horizontal="center" vertical="center"/>
      <protection hidden="1"/>
    </xf>
    <xf numFmtId="175" fontId="41" fillId="0" borderId="40" xfId="0" applyNumberFormat="1" applyFont="1" applyFill="1" applyBorder="1" applyAlignment="1" applyProtection="1">
      <alignment/>
      <protection hidden="1"/>
    </xf>
    <xf numFmtId="0" fontId="27" fillId="5" borderId="31" xfId="0" applyFont="1" applyFill="1" applyBorder="1" applyAlignment="1" applyProtection="1">
      <alignment horizontal="center"/>
      <protection hidden="1"/>
    </xf>
    <xf numFmtId="0" fontId="24" fillId="5" borderId="55" xfId="0" applyFont="1" applyFill="1" applyBorder="1" applyAlignment="1" applyProtection="1">
      <alignment horizontal="left"/>
      <protection hidden="1"/>
    </xf>
    <xf numFmtId="0" fontId="16" fillId="5" borderId="56" xfId="0" applyFont="1" applyFill="1" applyBorder="1" applyAlignment="1" applyProtection="1">
      <alignment/>
      <protection hidden="1"/>
    </xf>
    <xf numFmtId="0" fontId="17" fillId="5" borderId="56" xfId="0" applyFont="1" applyFill="1" applyBorder="1" applyAlignment="1" applyProtection="1">
      <alignment horizontal="center"/>
      <protection hidden="1"/>
    </xf>
    <xf numFmtId="175" fontId="41" fillId="0" borderId="0" xfId="0" applyNumberFormat="1" applyFont="1" applyFill="1" applyBorder="1" applyAlignment="1" applyProtection="1">
      <alignment/>
      <protection hidden="1"/>
    </xf>
    <xf numFmtId="4" fontId="20" fillId="5" borderId="0" xfId="0" applyNumberFormat="1" applyFont="1" applyFill="1" applyBorder="1" applyAlignment="1" applyProtection="1">
      <alignment vertical="center" wrapText="1"/>
      <protection hidden="1"/>
    </xf>
    <xf numFmtId="0" fontId="16" fillId="5" borderId="31" xfId="0" applyFont="1" applyFill="1" applyBorder="1" applyAlignment="1" applyProtection="1">
      <alignment horizontal="center"/>
      <protection hidden="1"/>
    </xf>
    <xf numFmtId="0" fontId="14" fillId="5" borderId="39" xfId="0" applyFont="1" applyFill="1" applyBorder="1" applyAlignment="1" applyProtection="1">
      <alignment/>
      <protection hidden="1"/>
    </xf>
    <xf numFmtId="0" fontId="16" fillId="0" borderId="38" xfId="0" applyFont="1" applyFill="1" applyBorder="1" applyAlignment="1" applyProtection="1">
      <alignment/>
      <protection hidden="1"/>
    </xf>
    <xf numFmtId="4" fontId="20" fillId="5" borderId="57" xfId="0" applyNumberFormat="1" applyFont="1" applyFill="1" applyBorder="1" applyAlignment="1" applyProtection="1">
      <alignment horizontal="center" vertical="center" wrapText="1"/>
      <protection hidden="1"/>
    </xf>
    <xf numFmtId="0" fontId="32" fillId="5" borderId="11" xfId="0" applyFont="1" applyFill="1" applyBorder="1" applyAlignment="1" applyProtection="1">
      <alignment horizontal="right" wrapText="1"/>
      <protection hidden="1"/>
    </xf>
    <xf numFmtId="0" fontId="14" fillId="5" borderId="9" xfId="0" applyFont="1" applyFill="1" applyBorder="1" applyAlignment="1" applyProtection="1">
      <alignment wrapText="1"/>
      <protection hidden="1"/>
    </xf>
    <xf numFmtId="0" fontId="32" fillId="5" borderId="0" xfId="0" applyFont="1" applyFill="1" applyBorder="1" applyAlignment="1" applyProtection="1">
      <alignment/>
      <protection hidden="1"/>
    </xf>
    <xf numFmtId="0" fontId="45" fillId="0" borderId="0" xfId="0" applyFont="1" applyFill="1" applyAlignment="1" applyProtection="1">
      <alignment/>
      <protection hidden="1"/>
    </xf>
    <xf numFmtId="0" fontId="45" fillId="0" borderId="0" xfId="0" applyFont="1" applyFill="1" applyBorder="1" applyAlignment="1" applyProtection="1">
      <alignment/>
      <protection hidden="1"/>
    </xf>
    <xf numFmtId="0" fontId="16" fillId="0" borderId="54" xfId="0" applyFont="1" applyFill="1" applyBorder="1" applyAlignment="1" applyProtection="1">
      <alignment/>
      <protection hidden="1"/>
    </xf>
    <xf numFmtId="175" fontId="41" fillId="0" borderId="11" xfId="0" applyNumberFormat="1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/>
      <protection hidden="1"/>
    </xf>
    <xf numFmtId="175" fontId="44" fillId="0" borderId="11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6" fillId="0" borderId="50" xfId="0" applyFont="1" applyFill="1" applyBorder="1" applyAlignment="1" applyProtection="1">
      <alignment/>
      <protection hidden="1"/>
    </xf>
    <xf numFmtId="0" fontId="16" fillId="0" borderId="51" xfId="0" applyFont="1" applyFill="1" applyBorder="1" applyAlignment="1" applyProtection="1">
      <alignment/>
      <protection hidden="1"/>
    </xf>
    <xf numFmtId="0" fontId="24" fillId="0" borderId="8" xfId="0" applyFont="1" applyFill="1" applyBorder="1" applyAlignment="1" applyProtection="1">
      <alignment horizontal="left"/>
      <protection hidden="1"/>
    </xf>
    <xf numFmtId="0" fontId="16" fillId="0" borderId="58" xfId="0" applyFont="1" applyFill="1" applyBorder="1" applyAlignment="1" applyProtection="1">
      <alignment/>
      <protection hidden="1"/>
    </xf>
    <xf numFmtId="0" fontId="27" fillId="0" borderId="2" xfId="0" applyFont="1" applyFill="1" applyBorder="1" applyAlignment="1" applyProtection="1">
      <alignment/>
      <protection hidden="1"/>
    </xf>
    <xf numFmtId="0" fontId="16" fillId="0" borderId="52" xfId="0" applyFont="1" applyFill="1" applyBorder="1" applyAlignment="1" applyProtection="1">
      <alignment/>
      <protection hidden="1"/>
    </xf>
    <xf numFmtId="3" fontId="14" fillId="0" borderId="2" xfId="0" applyNumberFormat="1" applyFont="1" applyFill="1" applyBorder="1" applyAlignment="1" applyProtection="1">
      <alignment/>
      <protection hidden="1"/>
    </xf>
    <xf numFmtId="0" fontId="16" fillId="0" borderId="59" xfId="0" applyFont="1" applyFill="1" applyBorder="1" applyAlignment="1" applyProtection="1">
      <alignment/>
      <protection hidden="1"/>
    </xf>
    <xf numFmtId="0" fontId="12" fillId="0" borderId="2" xfId="0" applyFont="1" applyFill="1" applyBorder="1" applyAlignment="1" applyProtection="1">
      <alignment horizontal="left"/>
      <protection hidden="1"/>
    </xf>
    <xf numFmtId="0" fontId="16" fillId="0" borderId="60" xfId="0" applyFont="1" applyFill="1" applyBorder="1" applyAlignment="1" applyProtection="1">
      <alignment/>
      <protection hidden="1"/>
    </xf>
    <xf numFmtId="0" fontId="24" fillId="0" borderId="41" xfId="0" applyFont="1" applyFill="1" applyBorder="1" applyAlignment="1" applyProtection="1">
      <alignment horizontal="left"/>
      <protection hidden="1"/>
    </xf>
    <xf numFmtId="0" fontId="24" fillId="0" borderId="61" xfId="0" applyFont="1" applyFill="1" applyBorder="1" applyAlignment="1" applyProtection="1">
      <alignment horizontal="left"/>
      <protection hidden="1"/>
    </xf>
    <xf numFmtId="175" fontId="41" fillId="0" borderId="49" xfId="0" applyNumberFormat="1" applyFont="1" applyFill="1" applyBorder="1" applyAlignment="1" applyProtection="1">
      <alignment/>
      <protection hidden="1"/>
    </xf>
    <xf numFmtId="175" fontId="41" fillId="0" borderId="62" xfId="0" applyNumberFormat="1" applyFont="1" applyFill="1" applyBorder="1" applyAlignment="1" applyProtection="1">
      <alignment/>
      <protection hidden="1"/>
    </xf>
    <xf numFmtId="3" fontId="14" fillId="0" borderId="39" xfId="0" applyNumberFormat="1" applyFont="1" applyFill="1" applyBorder="1" applyAlignment="1" applyProtection="1">
      <alignment/>
      <protection hidden="1"/>
    </xf>
    <xf numFmtId="175" fontId="46" fillId="0" borderId="40" xfId="0" applyNumberFormat="1" applyFont="1" applyFill="1" applyBorder="1" applyAlignment="1" applyProtection="1">
      <alignment horizontal="center" vertical="center"/>
      <protection hidden="1"/>
    </xf>
    <xf numFmtId="0" fontId="45" fillId="0" borderId="30" xfId="0" applyFont="1" applyFill="1" applyBorder="1" applyAlignment="1" applyProtection="1">
      <alignment/>
      <protection hidden="1"/>
    </xf>
    <xf numFmtId="0" fontId="17" fillId="0" borderId="42" xfId="0" applyFont="1" applyFill="1" applyBorder="1" applyAlignment="1" applyProtection="1">
      <alignment horizontal="center"/>
      <protection hidden="1"/>
    </xf>
    <xf numFmtId="0" fontId="27" fillId="0" borderId="42" xfId="0" applyFont="1" applyFill="1" applyBorder="1" applyAlignment="1" applyProtection="1">
      <alignment horizontal="center"/>
      <protection hidden="1"/>
    </xf>
    <xf numFmtId="0" fontId="16" fillId="0" borderId="42" xfId="0" applyFont="1" applyFill="1" applyBorder="1" applyAlignment="1" applyProtection="1">
      <alignment horizontal="center"/>
      <protection hidden="1"/>
    </xf>
    <xf numFmtId="4" fontId="20" fillId="0" borderId="41" xfId="0" applyNumberFormat="1" applyFont="1" applyFill="1" applyBorder="1" applyAlignment="1" applyProtection="1">
      <alignment horizontal="center" vertical="center" wrapText="1"/>
      <protection hidden="1"/>
    </xf>
    <xf numFmtId="175" fontId="46" fillId="0" borderId="11" xfId="0" applyNumberFormat="1" applyFont="1" applyFill="1" applyBorder="1" applyAlignment="1" applyProtection="1">
      <alignment horizontal="center" vertical="center"/>
      <protection hidden="1"/>
    </xf>
    <xf numFmtId="0" fontId="16" fillId="5" borderId="42" xfId="0" applyFont="1" applyFill="1" applyBorder="1" applyAlignment="1" applyProtection="1">
      <alignment/>
      <protection hidden="1"/>
    </xf>
    <xf numFmtId="0" fontId="28" fillId="5" borderId="42" xfId="0" applyFont="1" applyFill="1" applyBorder="1" applyAlignment="1" applyProtection="1">
      <alignment wrapText="1"/>
      <protection hidden="1"/>
    </xf>
    <xf numFmtId="0" fontId="24" fillId="5" borderId="41" xfId="0" applyFont="1" applyFill="1" applyBorder="1" applyAlignment="1" applyProtection="1">
      <alignment horizontal="left"/>
      <protection hidden="1"/>
    </xf>
    <xf numFmtId="0" fontId="22" fillId="0" borderId="2" xfId="0" applyFont="1" applyFill="1" applyBorder="1" applyAlignment="1" applyProtection="1">
      <alignment/>
      <protection hidden="1"/>
    </xf>
    <xf numFmtId="0" fontId="12" fillId="0" borderId="9" xfId="0" applyFont="1" applyFill="1" applyBorder="1" applyAlignment="1" applyProtection="1">
      <alignment horizontal="left"/>
      <protection hidden="1"/>
    </xf>
    <xf numFmtId="175" fontId="38" fillId="0" borderId="49" xfId="0" applyNumberFormat="1" applyFont="1" applyFill="1" applyBorder="1" applyAlignment="1" applyProtection="1">
      <alignment vertical="center"/>
      <protection hidden="1"/>
    </xf>
    <xf numFmtId="175" fontId="38" fillId="0" borderId="2" xfId="0" applyNumberFormat="1" applyFont="1" applyFill="1" applyBorder="1" applyAlignment="1" applyProtection="1">
      <alignment vertical="center"/>
      <protection hidden="1"/>
    </xf>
    <xf numFmtId="175" fontId="47" fillId="0" borderId="11" xfId="0" applyNumberFormat="1" applyFont="1" applyFill="1" applyBorder="1" applyAlignment="1" applyProtection="1">
      <alignment horizontal="center" vertical="center"/>
      <protection hidden="1"/>
    </xf>
    <xf numFmtId="3" fontId="45" fillId="5" borderId="30" xfId="0" applyNumberFormat="1" applyFont="1" applyFill="1" applyBorder="1" applyAlignment="1" applyProtection="1">
      <alignment/>
      <protection hidden="1"/>
    </xf>
    <xf numFmtId="0" fontId="16" fillId="5" borderId="54" xfId="0" applyFont="1" applyFill="1" applyBorder="1" applyAlignment="1" applyProtection="1">
      <alignment/>
      <protection hidden="1"/>
    </xf>
    <xf numFmtId="0" fontId="24" fillId="5" borderId="45" xfId="0" applyFont="1" applyFill="1" applyBorder="1" applyAlignment="1" applyProtection="1">
      <alignment horizontal="left"/>
      <protection hidden="1"/>
    </xf>
    <xf numFmtId="0" fontId="16" fillId="5" borderId="44" xfId="0" applyFont="1" applyFill="1" applyBorder="1" applyAlignment="1" applyProtection="1">
      <alignment/>
      <protection hidden="1"/>
    </xf>
    <xf numFmtId="0" fontId="28" fillId="5" borderId="44" xfId="0" applyFont="1" applyFill="1" applyBorder="1" applyAlignment="1" applyProtection="1">
      <alignment wrapText="1"/>
      <protection hidden="1"/>
    </xf>
    <xf numFmtId="0" fontId="24" fillId="0" borderId="63" xfId="0" applyFont="1" applyFill="1" applyBorder="1" applyAlignment="1" applyProtection="1">
      <alignment horizontal="left"/>
      <protection hidden="1"/>
    </xf>
    <xf numFmtId="0" fontId="16" fillId="0" borderId="64" xfId="0" applyFont="1" applyFill="1" applyBorder="1" applyAlignment="1" applyProtection="1">
      <alignment/>
      <protection hidden="1"/>
    </xf>
    <xf numFmtId="0" fontId="17" fillId="0" borderId="45" xfId="0" applyFont="1" applyFill="1" applyBorder="1" applyAlignment="1" applyProtection="1">
      <alignment horizontal="center"/>
      <protection hidden="1"/>
    </xf>
    <xf numFmtId="0" fontId="27" fillId="0" borderId="45" xfId="0" applyFont="1" applyFill="1" applyBorder="1" applyAlignment="1" applyProtection="1">
      <alignment horizontal="center"/>
      <protection hidden="1"/>
    </xf>
    <xf numFmtId="0" fontId="16" fillId="0" borderId="45" xfId="0" applyFont="1" applyFill="1" applyBorder="1" applyAlignment="1" applyProtection="1">
      <alignment horizontal="center"/>
      <protection hidden="1"/>
    </xf>
    <xf numFmtId="0" fontId="14" fillId="10" borderId="0" xfId="0" applyFont="1" applyFill="1" applyBorder="1" applyAlignment="1" applyProtection="1">
      <alignment/>
      <protection hidden="1"/>
    </xf>
    <xf numFmtId="0" fontId="2" fillId="12" borderId="21" xfId="0" applyFont="1" applyFill="1" applyBorder="1" applyAlignment="1" applyProtection="1">
      <alignment/>
      <protection hidden="1"/>
    </xf>
    <xf numFmtId="0" fontId="2" fillId="12" borderId="33" xfId="0" applyFont="1" applyFill="1" applyBorder="1" applyAlignment="1" applyProtection="1">
      <alignment/>
      <protection hidden="1"/>
    </xf>
    <xf numFmtId="0" fontId="2" fillId="12" borderId="37" xfId="0" applyFont="1" applyFill="1" applyBorder="1" applyAlignment="1" applyProtection="1">
      <alignment/>
      <protection hidden="1"/>
    </xf>
    <xf numFmtId="0" fontId="2" fillId="12" borderId="22" xfId="0" applyFont="1" applyFill="1" applyBorder="1" applyAlignment="1" applyProtection="1">
      <alignment/>
      <protection hidden="1"/>
    </xf>
    <xf numFmtId="0" fontId="2" fillId="12" borderId="0" xfId="0" applyFont="1" applyFill="1" applyBorder="1" applyAlignment="1" applyProtection="1">
      <alignment/>
      <protection hidden="1"/>
    </xf>
    <xf numFmtId="0" fontId="2" fillId="12" borderId="34" xfId="0" applyFont="1" applyFill="1" applyBorder="1" applyAlignment="1" applyProtection="1">
      <alignment/>
      <protection hidden="1"/>
    </xf>
    <xf numFmtId="0" fontId="4" fillId="12" borderId="0" xfId="0" applyFont="1" applyFill="1" applyBorder="1" applyAlignment="1" applyProtection="1">
      <alignment/>
      <protection hidden="1"/>
    </xf>
    <xf numFmtId="0" fontId="2" fillId="12" borderId="23" xfId="0" applyFont="1" applyFill="1" applyBorder="1" applyAlignment="1" applyProtection="1">
      <alignment/>
      <protection hidden="1"/>
    </xf>
    <xf numFmtId="0" fontId="2" fillId="12" borderId="35" xfId="0" applyFont="1" applyFill="1" applyBorder="1" applyAlignment="1" applyProtection="1">
      <alignment/>
      <protection hidden="1"/>
    </xf>
    <xf numFmtId="0" fontId="2" fillId="12" borderId="36" xfId="0" applyFont="1" applyFill="1" applyBorder="1" applyAlignment="1" applyProtection="1">
      <alignment/>
      <protection hidden="1"/>
    </xf>
    <xf numFmtId="10" fontId="4" fillId="12" borderId="13" xfId="0" applyNumberFormat="1" applyFont="1" applyFill="1" applyBorder="1" applyAlignment="1" applyProtection="1">
      <alignment/>
      <protection hidden="1"/>
    </xf>
    <xf numFmtId="4" fontId="2" fillId="0" borderId="13" xfId="0" applyNumberFormat="1" applyFont="1" applyFill="1" applyBorder="1" applyAlignment="1" applyProtection="1">
      <alignment/>
      <protection hidden="1" locked="0"/>
    </xf>
    <xf numFmtId="0" fontId="25" fillId="0" borderId="65" xfId="0" applyFont="1" applyFill="1" applyBorder="1" applyAlignment="1" applyProtection="1">
      <alignment horizontal="center"/>
      <protection hidden="1"/>
    </xf>
    <xf numFmtId="4" fontId="20" fillId="5" borderId="66" xfId="0" applyNumberFormat="1" applyFont="1" applyFill="1" applyBorder="1" applyAlignment="1" applyProtection="1">
      <alignment vertical="center" wrapText="1"/>
      <protection hidden="1"/>
    </xf>
    <xf numFmtId="0" fontId="16" fillId="0" borderId="65" xfId="0" applyFont="1" applyFill="1" applyBorder="1" applyAlignment="1" applyProtection="1">
      <alignment/>
      <protection hidden="1"/>
    </xf>
    <xf numFmtId="4" fontId="20" fillId="5" borderId="67" xfId="0" applyNumberFormat="1" applyFont="1" applyFill="1" applyBorder="1" applyAlignment="1" applyProtection="1">
      <alignment vertical="center" wrapText="1"/>
      <protection hidden="1"/>
    </xf>
    <xf numFmtId="4" fontId="20" fillId="5" borderId="68" xfId="0" applyNumberFormat="1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13" fillId="0" borderId="44" xfId="0" applyFont="1" applyFill="1" applyBorder="1" applyAlignment="1" applyProtection="1">
      <alignment/>
      <protection hidden="1"/>
    </xf>
    <xf numFmtId="0" fontId="2" fillId="11" borderId="13" xfId="0" applyFont="1" applyFill="1" applyBorder="1" applyAlignment="1" applyProtection="1">
      <alignment/>
      <protection hidden="1"/>
    </xf>
    <xf numFmtId="9" fontId="2" fillId="0" borderId="13" xfId="0" applyNumberFormat="1" applyFont="1" applyFill="1" applyBorder="1" applyAlignment="1" applyProtection="1">
      <alignment/>
      <protection hidden="1" locked="0"/>
    </xf>
    <xf numFmtId="9" fontId="2" fillId="11" borderId="13" xfId="0" applyNumberFormat="1" applyFont="1" applyFill="1" applyBorder="1" applyAlignment="1" applyProtection="1">
      <alignment/>
      <protection hidden="1"/>
    </xf>
    <xf numFmtId="0" fontId="48" fillId="10" borderId="13" xfId="0" applyFont="1" applyFill="1" applyBorder="1" applyAlignment="1" applyProtection="1">
      <alignment/>
      <protection hidden="1"/>
    </xf>
    <xf numFmtId="0" fontId="48" fillId="10" borderId="19" xfId="0" applyFont="1" applyFill="1" applyBorder="1" applyAlignment="1" applyProtection="1">
      <alignment/>
      <protection hidden="1"/>
    </xf>
    <xf numFmtId="0" fontId="48" fillId="10" borderId="22" xfId="0" applyFont="1" applyFill="1" applyBorder="1" applyAlignment="1" applyProtection="1">
      <alignment/>
      <protection hidden="1"/>
    </xf>
    <xf numFmtId="0" fontId="48" fillId="10" borderId="7" xfId="0" applyFont="1" applyFill="1" applyBorder="1" applyAlignment="1" applyProtection="1">
      <alignment/>
      <protection hidden="1"/>
    </xf>
    <xf numFmtId="0" fontId="48" fillId="10" borderId="0" xfId="0" applyFont="1" applyFill="1" applyAlignment="1" applyProtection="1">
      <alignment/>
      <protection hidden="1"/>
    </xf>
    <xf numFmtId="0" fontId="49" fillId="10" borderId="21" xfId="0" applyFont="1" applyFill="1" applyBorder="1" applyAlignment="1" applyProtection="1">
      <alignment/>
      <protection hidden="1"/>
    </xf>
    <xf numFmtId="0" fontId="48" fillId="10" borderId="37" xfId="0" applyFont="1" applyFill="1" applyBorder="1" applyAlignment="1" applyProtection="1">
      <alignment/>
      <protection hidden="1"/>
    </xf>
    <xf numFmtId="2" fontId="48" fillId="10" borderId="34" xfId="0" applyNumberFormat="1" applyFont="1" applyFill="1" applyBorder="1" applyAlignment="1" applyProtection="1">
      <alignment/>
      <protection hidden="1"/>
    </xf>
    <xf numFmtId="3" fontId="48" fillId="10" borderId="22" xfId="0" applyNumberFormat="1" applyFont="1" applyFill="1" applyBorder="1" applyAlignment="1" applyProtection="1">
      <alignment/>
      <protection hidden="1"/>
    </xf>
    <xf numFmtId="3" fontId="48" fillId="10" borderId="34" xfId="0" applyNumberFormat="1" applyFont="1" applyFill="1" applyBorder="1" applyAlignment="1" applyProtection="1">
      <alignment/>
      <protection hidden="1"/>
    </xf>
    <xf numFmtId="0" fontId="48" fillId="10" borderId="23" xfId="0" applyFont="1" applyFill="1" applyBorder="1" applyAlignment="1" applyProtection="1">
      <alignment/>
      <protection hidden="1"/>
    </xf>
    <xf numFmtId="3" fontId="48" fillId="10" borderId="36" xfId="0" applyNumberFormat="1" applyFont="1" applyFill="1" applyBorder="1" applyAlignment="1" applyProtection="1">
      <alignment/>
      <protection hidden="1"/>
    </xf>
    <xf numFmtId="0" fontId="48" fillId="10" borderId="33" xfId="0" applyFont="1" applyFill="1" applyBorder="1" applyAlignment="1" applyProtection="1">
      <alignment/>
      <protection hidden="1"/>
    </xf>
    <xf numFmtId="0" fontId="48" fillId="10" borderId="0" xfId="0" applyFont="1" applyFill="1" applyBorder="1" applyAlignment="1" applyProtection="1">
      <alignment/>
      <protection hidden="1"/>
    </xf>
    <xf numFmtId="0" fontId="48" fillId="10" borderId="34" xfId="0" applyFont="1" applyFill="1" applyBorder="1" applyAlignment="1" applyProtection="1">
      <alignment/>
      <protection hidden="1"/>
    </xf>
    <xf numFmtId="0" fontId="48" fillId="10" borderId="35" xfId="0" applyFont="1" applyFill="1" applyBorder="1" applyAlignment="1" applyProtection="1">
      <alignment/>
      <protection hidden="1"/>
    </xf>
    <xf numFmtId="0" fontId="48" fillId="10" borderId="36" xfId="0" applyFont="1" applyFill="1" applyBorder="1" applyAlignment="1" applyProtection="1">
      <alignment/>
      <protection hidden="1"/>
    </xf>
    <xf numFmtId="4" fontId="20" fillId="0" borderId="0" xfId="0" applyNumberFormat="1" applyFont="1" applyFill="1" applyBorder="1" applyAlignment="1" applyProtection="1">
      <alignment vertical="center" wrapText="1"/>
      <protection hidden="1"/>
    </xf>
    <xf numFmtId="4" fontId="20" fillId="5" borderId="44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68" xfId="0" applyNumberFormat="1" applyFont="1" applyFill="1" applyBorder="1" applyAlignment="1" applyProtection="1">
      <alignment vertical="center" wrapText="1"/>
      <protection hidden="1"/>
    </xf>
    <xf numFmtId="4" fontId="20" fillId="0" borderId="69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70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67" xfId="0" applyNumberFormat="1" applyFont="1" applyFill="1" applyBorder="1" applyAlignment="1" applyProtection="1">
      <alignment vertical="center" wrapText="1"/>
      <protection hidden="1"/>
    </xf>
    <xf numFmtId="0" fontId="16" fillId="0" borderId="67" xfId="0" applyFont="1" applyFill="1" applyBorder="1" applyAlignment="1" applyProtection="1">
      <alignment/>
      <protection hidden="1"/>
    </xf>
    <xf numFmtId="0" fontId="13" fillId="0" borderId="49" xfId="0" applyFont="1" applyFill="1" applyBorder="1" applyAlignment="1" applyProtection="1">
      <alignment/>
      <protection hidden="1"/>
    </xf>
    <xf numFmtId="0" fontId="12" fillId="0" borderId="42" xfId="0" applyFont="1" applyFill="1" applyBorder="1" applyAlignment="1" applyProtection="1">
      <alignment horizontal="center"/>
      <protection hidden="1"/>
    </xf>
    <xf numFmtId="0" fontId="12" fillId="0" borderId="41" xfId="0" applyFont="1" applyFill="1" applyBorder="1" applyAlignment="1" applyProtection="1">
      <alignment horizontal="center"/>
      <protection hidden="1"/>
    </xf>
    <xf numFmtId="4" fontId="20" fillId="0" borderId="71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72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73" xfId="0" applyFont="1" applyFill="1" applyBorder="1" applyAlignment="1" applyProtection="1">
      <alignment/>
      <protection hidden="1"/>
    </xf>
    <xf numFmtId="4" fontId="20" fillId="0" borderId="41" xfId="0" applyNumberFormat="1" applyFont="1" applyFill="1" applyBorder="1" applyAlignment="1" applyProtection="1">
      <alignment vertical="center" wrapText="1"/>
      <protection hidden="1"/>
    </xf>
    <xf numFmtId="4" fontId="20" fillId="0" borderId="74" xfId="0" applyNumberFormat="1" applyFont="1" applyFill="1" applyBorder="1" applyAlignment="1" applyProtection="1">
      <alignment vertical="center" wrapText="1"/>
      <protection hidden="1"/>
    </xf>
    <xf numFmtId="4" fontId="20" fillId="5" borderId="75" xfId="0" applyNumberFormat="1" applyFont="1" applyFill="1" applyBorder="1" applyAlignment="1" applyProtection="1">
      <alignment vertical="center" wrapText="1"/>
      <protection hidden="1"/>
    </xf>
    <xf numFmtId="0" fontId="12" fillId="0" borderId="60" xfId="0" applyFont="1" applyFill="1" applyBorder="1" applyAlignment="1" applyProtection="1">
      <alignment horizontal="center"/>
      <protection hidden="1"/>
    </xf>
    <xf numFmtId="4" fontId="20" fillId="5" borderId="76" xfId="0" applyNumberFormat="1" applyFont="1" applyFill="1" applyBorder="1" applyAlignment="1" applyProtection="1">
      <alignment horizontal="center" vertical="center" wrapText="1"/>
      <protection hidden="1"/>
    </xf>
    <xf numFmtId="4" fontId="20" fillId="5" borderId="7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73" xfId="0" applyFont="1" applyFill="1" applyBorder="1" applyAlignment="1" applyProtection="1">
      <alignment horizontal="center"/>
      <protection hidden="1"/>
    </xf>
    <xf numFmtId="175" fontId="41" fillId="0" borderId="48" xfId="0" applyNumberFormat="1" applyFont="1" applyFill="1" applyBorder="1" applyAlignment="1" applyProtection="1">
      <alignment/>
      <protection hidden="1"/>
    </xf>
    <xf numFmtId="0" fontId="48" fillId="9" borderId="13" xfId="0" applyFont="1" applyFill="1" applyBorder="1" applyAlignment="1" applyProtection="1">
      <alignment/>
      <protection hidden="1"/>
    </xf>
    <xf numFmtId="0" fontId="48" fillId="9" borderId="19" xfId="0" applyFont="1" applyFill="1" applyBorder="1" applyAlignment="1" applyProtection="1">
      <alignment/>
      <protection hidden="1"/>
    </xf>
    <xf numFmtId="0" fontId="48" fillId="9" borderId="0" xfId="0" applyFont="1" applyFill="1" applyAlignment="1" applyProtection="1">
      <alignment/>
      <protection hidden="1"/>
    </xf>
    <xf numFmtId="0" fontId="49" fillId="9" borderId="21" xfId="0" applyFont="1" applyFill="1" applyBorder="1" applyAlignment="1" applyProtection="1">
      <alignment/>
      <protection hidden="1"/>
    </xf>
    <xf numFmtId="0" fontId="48" fillId="9" borderId="37" xfId="0" applyFont="1" applyFill="1" applyBorder="1" applyAlignment="1" applyProtection="1">
      <alignment/>
      <protection hidden="1"/>
    </xf>
    <xf numFmtId="0" fontId="48" fillId="9" borderId="22" xfId="0" applyFont="1" applyFill="1" applyBorder="1" applyAlignment="1" applyProtection="1">
      <alignment/>
      <protection hidden="1"/>
    </xf>
    <xf numFmtId="2" fontId="48" fillId="9" borderId="34" xfId="0" applyNumberFormat="1" applyFont="1" applyFill="1" applyBorder="1" applyAlignment="1" applyProtection="1">
      <alignment/>
      <protection hidden="1"/>
    </xf>
    <xf numFmtId="3" fontId="48" fillId="9" borderId="22" xfId="0" applyNumberFormat="1" applyFont="1" applyFill="1" applyBorder="1" applyAlignment="1" applyProtection="1">
      <alignment/>
      <protection hidden="1"/>
    </xf>
    <xf numFmtId="3" fontId="48" fillId="9" borderId="34" xfId="0" applyNumberFormat="1" applyFont="1" applyFill="1" applyBorder="1" applyAlignment="1" applyProtection="1">
      <alignment/>
      <protection hidden="1"/>
    </xf>
    <xf numFmtId="0" fontId="48" fillId="9" borderId="23" xfId="0" applyFont="1" applyFill="1" applyBorder="1" applyAlignment="1" applyProtection="1">
      <alignment/>
      <protection hidden="1"/>
    </xf>
    <xf numFmtId="3" fontId="48" fillId="9" borderId="36" xfId="0" applyNumberFormat="1" applyFont="1" applyFill="1" applyBorder="1" applyAlignment="1" applyProtection="1">
      <alignment/>
      <protection hidden="1"/>
    </xf>
    <xf numFmtId="0" fontId="48" fillId="9" borderId="33" xfId="0" applyFont="1" applyFill="1" applyBorder="1" applyAlignment="1" applyProtection="1">
      <alignment/>
      <protection hidden="1"/>
    </xf>
    <xf numFmtId="0" fontId="48" fillId="9" borderId="0" xfId="0" applyFont="1" applyFill="1" applyBorder="1" applyAlignment="1" applyProtection="1">
      <alignment/>
      <protection hidden="1"/>
    </xf>
    <xf numFmtId="0" fontId="48" fillId="9" borderId="34" xfId="0" applyFont="1" applyFill="1" applyBorder="1" applyAlignment="1" applyProtection="1">
      <alignment/>
      <protection hidden="1"/>
    </xf>
    <xf numFmtId="0" fontId="48" fillId="9" borderId="35" xfId="0" applyFont="1" applyFill="1" applyBorder="1" applyAlignment="1" applyProtection="1">
      <alignment/>
      <protection hidden="1"/>
    </xf>
    <xf numFmtId="0" fontId="48" fillId="9" borderId="36" xfId="0" applyFont="1" applyFill="1" applyBorder="1" applyAlignment="1" applyProtection="1">
      <alignment/>
      <protection hidden="1"/>
    </xf>
    <xf numFmtId="0" fontId="14" fillId="9" borderId="0" xfId="0" applyFont="1" applyFill="1" applyAlignment="1" applyProtection="1">
      <alignment/>
      <protection hidden="1"/>
    </xf>
    <xf numFmtId="0" fontId="48" fillId="4" borderId="0" xfId="0" applyFont="1" applyFill="1" applyAlignment="1" applyProtection="1">
      <alignment/>
      <protection hidden="1"/>
    </xf>
    <xf numFmtId="0" fontId="48" fillId="4" borderId="13" xfId="0" applyFont="1" applyFill="1" applyBorder="1" applyAlignment="1" applyProtection="1">
      <alignment/>
      <protection hidden="1"/>
    </xf>
    <xf numFmtId="0" fontId="49" fillId="4" borderId="21" xfId="0" applyFont="1" applyFill="1" applyBorder="1" applyAlignment="1" applyProtection="1">
      <alignment/>
      <protection hidden="1"/>
    </xf>
    <xf numFmtId="0" fontId="48" fillId="4" borderId="33" xfId="0" applyFont="1" applyFill="1" applyBorder="1" applyAlignment="1" applyProtection="1">
      <alignment/>
      <protection hidden="1"/>
    </xf>
    <xf numFmtId="0" fontId="48" fillId="4" borderId="22" xfId="0" applyFont="1" applyFill="1" applyBorder="1" applyAlignment="1" applyProtection="1">
      <alignment/>
      <protection hidden="1"/>
    </xf>
    <xf numFmtId="2" fontId="48" fillId="4" borderId="0" xfId="0" applyNumberFormat="1" applyFont="1" applyFill="1" applyAlignment="1" applyProtection="1">
      <alignment/>
      <protection hidden="1"/>
    </xf>
    <xf numFmtId="0" fontId="48" fillId="4" borderId="34" xfId="0" applyFont="1" applyFill="1" applyBorder="1" applyAlignment="1" applyProtection="1">
      <alignment/>
      <protection hidden="1"/>
    </xf>
    <xf numFmtId="0" fontId="48" fillId="4" borderId="0" xfId="0" applyFont="1" applyFill="1" applyBorder="1" applyAlignment="1" applyProtection="1">
      <alignment/>
      <protection hidden="1"/>
    </xf>
    <xf numFmtId="2" fontId="48" fillId="4" borderId="0" xfId="0" applyNumberFormat="1" applyFont="1" applyFill="1" applyBorder="1" applyAlignment="1" applyProtection="1">
      <alignment/>
      <protection hidden="1"/>
    </xf>
    <xf numFmtId="0" fontId="48" fillId="4" borderId="23" xfId="0" applyFont="1" applyFill="1" applyBorder="1" applyAlignment="1" applyProtection="1">
      <alignment/>
      <protection hidden="1"/>
    </xf>
    <xf numFmtId="0" fontId="48" fillId="4" borderId="35" xfId="0" applyFont="1" applyFill="1" applyBorder="1" applyAlignment="1" applyProtection="1">
      <alignment/>
      <protection hidden="1"/>
    </xf>
    <xf numFmtId="0" fontId="48" fillId="4" borderId="36" xfId="0" applyFont="1" applyFill="1" applyBorder="1" applyAlignment="1" applyProtection="1">
      <alignment/>
      <protection hidden="1"/>
    </xf>
    <xf numFmtId="4" fontId="20" fillId="5" borderId="78" xfId="0" applyNumberFormat="1" applyFont="1" applyFill="1" applyBorder="1" applyAlignment="1" applyProtection="1">
      <alignment vertical="center" wrapText="1"/>
      <protection hidden="1"/>
    </xf>
    <xf numFmtId="4" fontId="20" fillId="5" borderId="31" xfId="0" applyNumberFormat="1" applyFont="1" applyFill="1" applyBorder="1" applyAlignment="1" applyProtection="1">
      <alignment vertical="center" wrapText="1"/>
      <protection hidden="1"/>
    </xf>
    <xf numFmtId="0" fontId="25" fillId="5" borderId="79" xfId="0" applyFont="1" applyFill="1" applyBorder="1" applyAlignment="1" applyProtection="1">
      <alignment horizontal="center"/>
      <protection hidden="1"/>
    </xf>
    <xf numFmtId="4" fontId="20" fillId="5" borderId="8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81" xfId="0" applyFont="1" applyFill="1" applyBorder="1" applyAlignment="1" applyProtection="1">
      <alignment/>
      <protection hidden="1"/>
    </xf>
    <xf numFmtId="4" fontId="20" fillId="5" borderId="81" xfId="0" applyNumberFormat="1" applyFont="1" applyFill="1" applyBorder="1" applyAlignment="1" applyProtection="1">
      <alignment vertical="center" wrapText="1"/>
      <protection hidden="1"/>
    </xf>
    <xf numFmtId="4" fontId="20" fillId="5" borderId="82" xfId="0" applyNumberFormat="1" applyFont="1" applyFill="1" applyBorder="1" applyAlignment="1" applyProtection="1">
      <alignment vertical="center" wrapText="1"/>
      <protection hidden="1"/>
    </xf>
    <xf numFmtId="4" fontId="20" fillId="5" borderId="38" xfId="0" applyNumberFormat="1" applyFont="1" applyFill="1" applyBorder="1" applyAlignment="1" applyProtection="1">
      <alignment horizontal="center" vertical="center" wrapText="1"/>
      <protection hidden="1"/>
    </xf>
    <xf numFmtId="4" fontId="20" fillId="5" borderId="56" xfId="0" applyNumberFormat="1" applyFont="1" applyFill="1" applyBorder="1" applyAlignment="1" applyProtection="1">
      <alignment vertical="center" wrapText="1"/>
      <protection hidden="1"/>
    </xf>
    <xf numFmtId="4" fontId="20" fillId="5" borderId="82" xfId="0" applyNumberFormat="1" applyFont="1" applyFill="1" applyBorder="1" applyAlignment="1" applyProtection="1">
      <alignment horizontal="center" vertical="center" wrapText="1"/>
      <protection hidden="1"/>
    </xf>
    <xf numFmtId="4" fontId="20" fillId="5" borderId="83" xfId="0" applyNumberFormat="1" applyFont="1" applyFill="1" applyBorder="1" applyAlignment="1" applyProtection="1">
      <alignment horizontal="center" vertical="center" wrapText="1"/>
      <protection hidden="1"/>
    </xf>
    <xf numFmtId="4" fontId="20" fillId="5" borderId="38" xfId="0" applyNumberFormat="1" applyFont="1" applyFill="1" applyBorder="1" applyAlignment="1" applyProtection="1">
      <alignment vertical="center" wrapText="1"/>
      <protection hidden="1"/>
    </xf>
    <xf numFmtId="0" fontId="48" fillId="4" borderId="37" xfId="0" applyFont="1" applyFill="1" applyBorder="1" applyAlignment="1" applyProtection="1">
      <alignment/>
      <protection hidden="1"/>
    </xf>
    <xf numFmtId="0" fontId="14" fillId="4" borderId="0" xfId="0" applyFont="1" applyFill="1" applyAlignment="1" applyProtection="1">
      <alignment/>
      <protection hidden="1"/>
    </xf>
    <xf numFmtId="10" fontId="16" fillId="4" borderId="13" xfId="0" applyNumberFormat="1" applyFont="1" applyFill="1" applyBorder="1" applyAlignment="1" applyProtection="1">
      <alignment/>
      <protection hidden="1"/>
    </xf>
    <xf numFmtId="0" fontId="16" fillId="4" borderId="7" xfId="0" applyFont="1" applyFill="1" applyBorder="1" applyAlignment="1" applyProtection="1">
      <alignment/>
      <protection hidden="1"/>
    </xf>
    <xf numFmtId="0" fontId="50" fillId="4" borderId="21" xfId="0" applyFont="1" applyFill="1" applyBorder="1" applyAlignment="1" applyProtection="1">
      <alignment/>
      <protection hidden="1"/>
    </xf>
    <xf numFmtId="0" fontId="16" fillId="4" borderId="6" xfId="0" applyFont="1" applyFill="1" applyBorder="1" applyAlignment="1" applyProtection="1">
      <alignment/>
      <protection hidden="1"/>
    </xf>
    <xf numFmtId="0" fontId="26" fillId="4" borderId="22" xfId="0" applyFont="1" applyFill="1" applyBorder="1" applyAlignment="1" applyProtection="1">
      <alignment/>
      <protection hidden="1"/>
    </xf>
    <xf numFmtId="0" fontId="26" fillId="4" borderId="0" xfId="0" applyFont="1" applyFill="1" applyBorder="1" applyAlignment="1" applyProtection="1">
      <alignment/>
      <protection hidden="1"/>
    </xf>
    <xf numFmtId="165" fontId="16" fillId="4" borderId="13" xfId="0" applyNumberFormat="1" applyFont="1" applyFill="1" applyBorder="1" applyAlignment="1" applyProtection="1">
      <alignment/>
      <protection hidden="1"/>
    </xf>
    <xf numFmtId="0" fontId="51" fillId="5" borderId="0" xfId="0" applyFont="1" applyFill="1" applyBorder="1" applyAlignment="1" applyProtection="1">
      <alignment/>
      <protection hidden="1"/>
    </xf>
    <xf numFmtId="2" fontId="2" fillId="11" borderId="13" xfId="0" applyNumberFormat="1" applyFont="1" applyFill="1" applyBorder="1" applyAlignment="1" applyProtection="1">
      <alignment/>
      <protection hidden="1"/>
    </xf>
    <xf numFmtId="0" fontId="3" fillId="0" borderId="4" xfId="0" applyFont="1" applyFill="1" applyBorder="1" applyAlignment="1" applyProtection="1">
      <alignment horizontal="left"/>
      <protection hidden="1"/>
    </xf>
    <xf numFmtId="0" fontId="2" fillId="0" borderId="41" xfId="0" applyFont="1" applyFill="1" applyBorder="1" applyAlignment="1" applyProtection="1">
      <alignment/>
      <protection hidden="1"/>
    </xf>
    <xf numFmtId="0" fontId="52" fillId="0" borderId="0" xfId="0" applyFont="1" applyFill="1" applyBorder="1" applyAlignment="1" applyProtection="1">
      <alignment wrapText="1"/>
      <protection hidden="1"/>
    </xf>
    <xf numFmtId="0" fontId="53" fillId="0" borderId="41" xfId="0" applyFont="1" applyFill="1" applyBorder="1" applyAlignment="1" applyProtection="1">
      <alignment horizontal="center"/>
      <protection hidden="1"/>
    </xf>
    <xf numFmtId="4" fontId="54" fillId="5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/>
      <protection hidden="1"/>
    </xf>
    <xf numFmtId="0" fontId="3" fillId="9" borderId="0" xfId="0" applyFont="1" applyFill="1" applyAlignment="1" applyProtection="1">
      <alignment/>
      <protection hidden="1"/>
    </xf>
    <xf numFmtId="0" fontId="4" fillId="9" borderId="0" xfId="0" applyFont="1" applyFill="1" applyAlignment="1" applyProtection="1">
      <alignment/>
      <protection hidden="1"/>
    </xf>
    <xf numFmtId="0" fontId="2" fillId="9" borderId="0" xfId="0" applyFont="1" applyFill="1" applyAlignment="1" applyProtection="1">
      <alignment/>
      <protection hidden="1"/>
    </xf>
    <xf numFmtId="0" fontId="3" fillId="0" borderId="63" xfId="0" applyFont="1" applyFill="1" applyBorder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0" fontId="52" fillId="0" borderId="0" xfId="0" applyFont="1" applyFill="1" applyBorder="1" applyAlignment="1" applyProtection="1">
      <alignment/>
      <protection hidden="1"/>
    </xf>
    <xf numFmtId="0" fontId="2" fillId="0" borderId="64" xfId="0" applyFont="1" applyFill="1" applyBorder="1" applyAlignment="1" applyProtection="1">
      <alignment/>
      <protection hidden="1"/>
    </xf>
    <xf numFmtId="0" fontId="52" fillId="5" borderId="45" xfId="0" applyFont="1" applyFill="1" applyBorder="1" applyAlignment="1" applyProtection="1">
      <alignment wrapText="1"/>
      <protection hidden="1"/>
    </xf>
    <xf numFmtId="4" fontId="54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 applyProtection="1">
      <alignment/>
      <protection hidden="1"/>
    </xf>
    <xf numFmtId="0" fontId="3" fillId="10" borderId="0" xfId="0" applyFont="1" applyFill="1" applyAlignment="1" applyProtection="1">
      <alignment/>
      <protection hidden="1"/>
    </xf>
    <xf numFmtId="0" fontId="4" fillId="10" borderId="0" xfId="0" applyFont="1" applyFill="1" applyBorder="1" applyAlignment="1" applyProtection="1">
      <alignment/>
      <protection hidden="1"/>
    </xf>
    <xf numFmtId="0" fontId="2" fillId="10" borderId="0" xfId="0" applyFont="1" applyFill="1" applyBorder="1" applyAlignment="1" applyProtection="1">
      <alignment/>
      <protection hidden="1"/>
    </xf>
    <xf numFmtId="0" fontId="2" fillId="10" borderId="0" xfId="0" applyFont="1" applyFill="1" applyAlignment="1" applyProtection="1">
      <alignment/>
      <protection hidden="1"/>
    </xf>
    <xf numFmtId="0" fontId="3" fillId="5" borderId="4" xfId="0" applyFont="1" applyFill="1" applyBorder="1" applyAlignment="1" applyProtection="1">
      <alignment horizontal="left"/>
      <protection hidden="1"/>
    </xf>
    <xf numFmtId="0" fontId="2" fillId="0" borderId="31" xfId="0" applyFont="1" applyFill="1" applyBorder="1" applyAlignment="1" applyProtection="1">
      <alignment/>
      <protection hidden="1"/>
    </xf>
    <xf numFmtId="0" fontId="2" fillId="5" borderId="38" xfId="0" applyFont="1" applyFill="1" applyBorder="1" applyAlignment="1" applyProtection="1">
      <alignment/>
      <protection hidden="1"/>
    </xf>
    <xf numFmtId="0" fontId="2" fillId="5" borderId="0" xfId="0" applyFont="1" applyFill="1" applyBorder="1" applyAlignment="1" applyProtection="1">
      <alignment/>
      <protection hidden="1"/>
    </xf>
    <xf numFmtId="0" fontId="2" fillId="5" borderId="32" xfId="0" applyFont="1" applyFill="1" applyBorder="1" applyAlignment="1" applyProtection="1">
      <alignment/>
      <protection hidden="1"/>
    </xf>
    <xf numFmtId="0" fontId="3" fillId="4" borderId="0" xfId="0" applyFont="1" applyFill="1" applyAlignment="1" applyProtection="1">
      <alignment/>
      <protection hidden="1"/>
    </xf>
    <xf numFmtId="0" fontId="4" fillId="4" borderId="0" xfId="0" applyFont="1" applyFill="1" applyAlignment="1" applyProtection="1">
      <alignment/>
      <protection hidden="1"/>
    </xf>
    <xf numFmtId="0" fontId="2" fillId="4" borderId="0" xfId="0" applyFont="1" applyFill="1" applyAlignment="1" applyProtection="1">
      <alignment/>
      <protection hidden="1"/>
    </xf>
    <xf numFmtId="0" fontId="2" fillId="5" borderId="5" xfId="0" applyFont="1" applyFill="1" applyBorder="1" applyAlignment="1" applyProtection="1">
      <alignment/>
      <protection hidden="1"/>
    </xf>
    <xf numFmtId="9" fontId="2" fillId="6" borderId="20" xfId="0" applyNumberFormat="1" applyFont="1" applyFill="1" applyBorder="1" applyAlignment="1" applyProtection="1">
      <alignment horizontal="right"/>
      <protection hidden="1"/>
    </xf>
    <xf numFmtId="0" fontId="2" fillId="6" borderId="7" xfId="0" applyFont="1" applyFill="1" applyBorder="1" applyAlignment="1" applyProtection="1">
      <alignment/>
      <protection hidden="1"/>
    </xf>
    <xf numFmtId="9" fontId="2" fillId="11" borderId="20" xfId="0" applyNumberFormat="1" applyFont="1" applyFill="1" applyBorder="1" applyAlignment="1" applyProtection="1">
      <alignment horizontal="right"/>
      <protection hidden="1"/>
    </xf>
    <xf numFmtId="0" fontId="2" fillId="11" borderId="7" xfId="0" applyFont="1" applyFill="1" applyBorder="1" applyAlignment="1" applyProtection="1">
      <alignment/>
      <protection hidden="1"/>
    </xf>
    <xf numFmtId="4" fontId="14" fillId="7" borderId="11" xfId="0" applyNumberFormat="1" applyFont="1" applyFill="1" applyBorder="1" applyAlignment="1" applyProtection="1">
      <alignment horizontal="right"/>
      <protection hidden="1"/>
    </xf>
    <xf numFmtId="0" fontId="57" fillId="2" borderId="0" xfId="0" applyFont="1" applyFill="1" applyBorder="1" applyAlignment="1" applyProtection="1">
      <alignment vertical="top"/>
      <protection hidden="1"/>
    </xf>
    <xf numFmtId="0" fontId="57" fillId="2" borderId="0" xfId="0" applyFont="1" applyFill="1" applyAlignment="1" applyProtection="1">
      <alignment/>
      <protection hidden="1"/>
    </xf>
    <xf numFmtId="0" fontId="16" fillId="5" borderId="7" xfId="0" applyFont="1" applyFill="1" applyBorder="1" applyAlignment="1" applyProtection="1">
      <alignment/>
      <protection hidden="1" locked="0"/>
    </xf>
    <xf numFmtId="0" fontId="10" fillId="3" borderId="84" xfId="0" applyFont="1" applyFill="1" applyBorder="1" applyAlignment="1" applyProtection="1">
      <alignment horizontal="center"/>
      <protection hidden="1"/>
    </xf>
    <xf numFmtId="0" fontId="10" fillId="3" borderId="85" xfId="0" applyFont="1" applyFill="1" applyBorder="1" applyAlignment="1" applyProtection="1">
      <alignment horizontal="center"/>
      <protection hidden="1"/>
    </xf>
    <xf numFmtId="175" fontId="32" fillId="5" borderId="0" xfId="0" applyNumberFormat="1" applyFont="1" applyFill="1" applyBorder="1" applyAlignment="1" applyProtection="1">
      <alignment wrapText="1"/>
      <protection hidden="1"/>
    </xf>
    <xf numFmtId="175" fontId="43" fillId="5" borderId="30" xfId="0" applyNumberFormat="1" applyFont="1" applyFill="1" applyBorder="1" applyAlignment="1" applyProtection="1">
      <alignment horizontal="center"/>
      <protection hidden="1" locked="0"/>
    </xf>
    <xf numFmtId="175" fontId="32" fillId="5" borderId="30" xfId="0" applyNumberFormat="1" applyFont="1" applyFill="1" applyBorder="1" applyAlignment="1" applyProtection="1">
      <alignment wrapText="1"/>
      <protection hidden="1"/>
    </xf>
    <xf numFmtId="0" fontId="58" fillId="3" borderId="0" xfId="0" applyFont="1" applyFill="1" applyBorder="1" applyAlignment="1" applyProtection="1">
      <alignment/>
      <protection hidden="1"/>
    </xf>
    <xf numFmtId="2" fontId="48" fillId="9" borderId="0" xfId="0" applyNumberFormat="1" applyFont="1" applyFill="1" applyAlignment="1" applyProtection="1">
      <alignment/>
      <protection hidden="1"/>
    </xf>
    <xf numFmtId="2" fontId="48" fillId="9" borderId="0" xfId="0" applyNumberFormat="1" applyFont="1" applyFill="1" applyBorder="1" applyAlignment="1" applyProtection="1">
      <alignment/>
      <protection hidden="1"/>
    </xf>
    <xf numFmtId="165" fontId="16" fillId="9" borderId="22" xfId="0" applyNumberFormat="1" applyFont="1" applyFill="1" applyBorder="1" applyAlignment="1" applyProtection="1">
      <alignment/>
      <protection hidden="1"/>
    </xf>
    <xf numFmtId="165" fontId="16" fillId="9" borderId="23" xfId="0" applyNumberFormat="1" applyFont="1" applyFill="1" applyBorder="1" applyAlignment="1" applyProtection="1">
      <alignment/>
      <protection hidden="1"/>
    </xf>
    <xf numFmtId="10" fontId="16" fillId="9" borderId="0" xfId="0" applyNumberFormat="1" applyFont="1" applyFill="1" applyBorder="1" applyAlignment="1" applyProtection="1">
      <alignment/>
      <protection hidden="1"/>
    </xf>
    <xf numFmtId="0" fontId="16" fillId="9" borderId="35" xfId="0" applyFont="1" applyFill="1" applyBorder="1" applyAlignment="1" applyProtection="1">
      <alignment/>
      <protection hidden="1"/>
    </xf>
    <xf numFmtId="10" fontId="48" fillId="9" borderId="13" xfId="0" applyNumberFormat="1" applyFont="1" applyFill="1" applyBorder="1" applyAlignment="1" applyProtection="1">
      <alignment/>
      <protection hidden="1"/>
    </xf>
    <xf numFmtId="0" fontId="48" fillId="9" borderId="7" xfId="0" applyFont="1" applyFill="1" applyBorder="1" applyAlignment="1" applyProtection="1">
      <alignment/>
      <protection hidden="1"/>
    </xf>
    <xf numFmtId="0" fontId="56" fillId="9" borderId="22" xfId="0" applyFont="1" applyFill="1" applyBorder="1" applyAlignment="1" applyProtection="1">
      <alignment/>
      <protection hidden="1"/>
    </xf>
    <xf numFmtId="0" fontId="16" fillId="9" borderId="6" xfId="0" applyFont="1" applyFill="1" applyBorder="1" applyAlignment="1" applyProtection="1">
      <alignment/>
      <protection hidden="1"/>
    </xf>
    <xf numFmtId="0" fontId="50" fillId="9" borderId="21" xfId="0" applyFont="1" applyFill="1" applyBorder="1" applyAlignment="1" applyProtection="1">
      <alignment/>
      <protection hidden="1"/>
    </xf>
    <xf numFmtId="0" fontId="26" fillId="9" borderId="22" xfId="0" applyFont="1" applyFill="1" applyBorder="1" applyAlignment="1" applyProtection="1">
      <alignment/>
      <protection hidden="1"/>
    </xf>
    <xf numFmtId="0" fontId="26" fillId="9" borderId="0" xfId="0" applyFont="1" applyFill="1" applyBorder="1" applyAlignment="1" applyProtection="1">
      <alignment/>
      <protection hidden="1"/>
    </xf>
    <xf numFmtId="0" fontId="55" fillId="9" borderId="34" xfId="0" applyFont="1" applyFill="1" applyBorder="1" applyAlignment="1" applyProtection="1">
      <alignment/>
      <protection hidden="1"/>
    </xf>
    <xf numFmtId="165" fontId="16" fillId="9" borderId="13" xfId="0" applyNumberFormat="1" applyFont="1" applyFill="1" applyBorder="1" applyAlignment="1" applyProtection="1">
      <alignment/>
      <protection hidden="1"/>
    </xf>
    <xf numFmtId="0" fontId="55" fillId="9" borderId="36" xfId="0" applyFont="1" applyFill="1" applyBorder="1" applyAlignment="1" applyProtection="1">
      <alignment/>
      <protection hidden="1"/>
    </xf>
    <xf numFmtId="0" fontId="29" fillId="9" borderId="0" xfId="0" applyFont="1" applyFill="1" applyAlignment="1" applyProtection="1">
      <alignment/>
      <protection hidden="1"/>
    </xf>
    <xf numFmtId="175" fontId="16" fillId="9" borderId="0" xfId="0" applyNumberFormat="1" applyFont="1" applyFill="1" applyAlignment="1" applyProtection="1">
      <alignment/>
      <protection hidden="1"/>
    </xf>
    <xf numFmtId="0" fontId="24" fillId="5" borderId="2" xfId="0" applyFont="1" applyFill="1" applyBorder="1" applyAlignment="1" applyProtection="1">
      <alignment horizontal="left"/>
      <protection hidden="1"/>
    </xf>
    <xf numFmtId="0" fontId="18" fillId="5" borderId="2" xfId="0" applyFont="1" applyFill="1" applyBorder="1" applyAlignment="1" applyProtection="1">
      <alignment vertical="center"/>
      <protection hidden="1"/>
    </xf>
    <xf numFmtId="0" fontId="24" fillId="5" borderId="61" xfId="0" applyFont="1" applyFill="1" applyBorder="1" applyAlignment="1" applyProtection="1">
      <alignment horizontal="left"/>
      <protection hidden="1"/>
    </xf>
    <xf numFmtId="0" fontId="16" fillId="5" borderId="73" xfId="0" applyFont="1" applyFill="1" applyBorder="1" applyAlignment="1" applyProtection="1">
      <alignment/>
      <protection hidden="1"/>
    </xf>
    <xf numFmtId="0" fontId="25" fillId="5" borderId="73" xfId="0" applyFont="1" applyFill="1" applyBorder="1" applyAlignment="1" applyProtection="1">
      <alignment horizontal="center"/>
      <protection hidden="1"/>
    </xf>
    <xf numFmtId="0" fontId="27" fillId="5" borderId="42" xfId="0" applyFont="1" applyFill="1" applyBorder="1" applyAlignment="1" applyProtection="1">
      <alignment horizontal="center"/>
      <protection hidden="1"/>
    </xf>
    <xf numFmtId="0" fontId="16" fillId="5" borderId="42" xfId="0" applyFont="1" applyFill="1" applyBorder="1" applyAlignment="1" applyProtection="1">
      <alignment horizontal="center"/>
      <protection hidden="1"/>
    </xf>
    <xf numFmtId="4" fontId="20" fillId="5" borderId="39" xfId="0" applyNumberFormat="1" applyFont="1" applyFill="1" applyBorder="1" applyAlignment="1" applyProtection="1">
      <alignment vertical="center" wrapText="1"/>
      <protection hidden="1"/>
    </xf>
    <xf numFmtId="4" fontId="20" fillId="5" borderId="71" xfId="0" applyNumberFormat="1" applyFont="1" applyFill="1" applyBorder="1" applyAlignment="1" applyProtection="1">
      <alignment vertical="center" wrapText="1"/>
      <protection hidden="1"/>
    </xf>
    <xf numFmtId="4" fontId="20" fillId="5" borderId="74" xfId="0" applyNumberFormat="1" applyFont="1" applyFill="1" applyBorder="1" applyAlignment="1" applyProtection="1">
      <alignment vertical="center" wrapText="1"/>
      <protection hidden="1"/>
    </xf>
    <xf numFmtId="4" fontId="20" fillId="5" borderId="76" xfId="0" applyNumberFormat="1" applyFont="1" applyFill="1" applyBorder="1" applyAlignment="1" applyProtection="1">
      <alignment vertical="center" wrapText="1"/>
      <protection hidden="1"/>
    </xf>
    <xf numFmtId="4" fontId="20" fillId="5" borderId="54" xfId="0" applyNumberFormat="1" applyFont="1" applyFill="1" applyBorder="1" applyAlignment="1" applyProtection="1">
      <alignment vertical="center" wrapText="1"/>
      <protection hidden="1"/>
    </xf>
    <xf numFmtId="0" fontId="16" fillId="0" borderId="75" xfId="0" applyFont="1" applyFill="1" applyBorder="1" applyAlignment="1" applyProtection="1">
      <alignment/>
      <protection hidden="1"/>
    </xf>
    <xf numFmtId="4" fontId="20" fillId="5" borderId="41" xfId="0" applyNumberFormat="1" applyFont="1" applyFill="1" applyBorder="1" applyAlignment="1" applyProtection="1">
      <alignment vertical="center" wrapText="1"/>
      <protection hidden="1"/>
    </xf>
    <xf numFmtId="4" fontId="20" fillId="5" borderId="72" xfId="0" applyNumberFormat="1" applyFont="1" applyFill="1" applyBorder="1" applyAlignment="1" applyProtection="1">
      <alignment horizontal="center" vertical="center" wrapText="1"/>
      <protection hidden="1"/>
    </xf>
    <xf numFmtId="4" fontId="20" fillId="5" borderId="60" xfId="0" applyNumberFormat="1" applyFont="1" applyFill="1" applyBorder="1" applyAlignment="1" applyProtection="1">
      <alignment vertical="center" wrapText="1"/>
      <protection hidden="1"/>
    </xf>
    <xf numFmtId="0" fontId="16" fillId="5" borderId="60" xfId="0" applyFont="1" applyFill="1" applyBorder="1" applyAlignment="1" applyProtection="1">
      <alignment/>
      <protection hidden="1"/>
    </xf>
    <xf numFmtId="0" fontId="16" fillId="5" borderId="41" xfId="0" applyFont="1" applyFill="1" applyBorder="1" applyAlignment="1" applyProtection="1">
      <alignment/>
      <protection hidden="1"/>
    </xf>
    <xf numFmtId="0" fontId="2" fillId="5" borderId="41" xfId="0" applyFont="1" applyFill="1" applyBorder="1" applyAlignment="1" applyProtection="1">
      <alignment/>
      <protection hidden="1"/>
    </xf>
    <xf numFmtId="0" fontId="16" fillId="5" borderId="60" xfId="0" applyFont="1" applyFill="1" applyBorder="1" applyAlignment="1" applyProtection="1">
      <alignment horizontal="center"/>
      <protection hidden="1"/>
    </xf>
    <xf numFmtId="0" fontId="27" fillId="5" borderId="60" xfId="0" applyFont="1" applyFill="1" applyBorder="1" applyAlignment="1" applyProtection="1">
      <alignment horizontal="center"/>
      <protection hidden="1"/>
    </xf>
    <xf numFmtId="0" fontId="17" fillId="5" borderId="41" xfId="0" applyFont="1" applyFill="1" applyBorder="1" applyAlignment="1" applyProtection="1">
      <alignment horizontal="center"/>
      <protection hidden="1"/>
    </xf>
    <xf numFmtId="0" fontId="16" fillId="5" borderId="43" xfId="0" applyFont="1" applyFill="1" applyBorder="1" applyAlignment="1" applyProtection="1">
      <alignment/>
      <protection hidden="1"/>
    </xf>
    <xf numFmtId="175" fontId="46" fillId="5" borderId="11" xfId="0" applyNumberFormat="1" applyFont="1" applyFill="1" applyBorder="1" applyAlignment="1" applyProtection="1">
      <alignment horizontal="center" vertical="center"/>
      <protection hidden="1"/>
    </xf>
    <xf numFmtId="4" fontId="20" fillId="5" borderId="49" xfId="0" applyNumberFormat="1" applyFont="1" applyFill="1" applyBorder="1" applyAlignment="1" applyProtection="1">
      <alignment horizontal="center" vertical="center" wrapText="1"/>
      <protection hidden="1"/>
    </xf>
    <xf numFmtId="0" fontId="24" fillId="5" borderId="86" xfId="0" applyFont="1" applyFill="1" applyBorder="1" applyAlignment="1" applyProtection="1">
      <alignment horizontal="left"/>
      <protection hidden="1"/>
    </xf>
    <xf numFmtId="0" fontId="24" fillId="5" borderId="87" xfId="0" applyFont="1" applyFill="1" applyBorder="1" applyAlignment="1" applyProtection="1">
      <alignment horizontal="left"/>
      <protection hidden="1"/>
    </xf>
    <xf numFmtId="0" fontId="16" fillId="5" borderId="88" xfId="0" applyFont="1" applyFill="1" applyBorder="1" applyAlignment="1" applyProtection="1">
      <alignment/>
      <protection hidden="1"/>
    </xf>
    <xf numFmtId="0" fontId="25" fillId="5" borderId="88" xfId="0" applyFont="1" applyFill="1" applyBorder="1" applyAlignment="1" applyProtection="1">
      <alignment horizontal="center"/>
      <protection hidden="1"/>
    </xf>
    <xf numFmtId="4" fontId="20" fillId="5" borderId="89" xfId="0" applyNumberFormat="1" applyFont="1" applyFill="1" applyBorder="1" applyAlignment="1" applyProtection="1">
      <alignment horizontal="center" vertical="center" wrapText="1"/>
      <protection hidden="1"/>
    </xf>
    <xf numFmtId="4" fontId="20" fillId="5" borderId="90" xfId="0" applyNumberFormat="1" applyFont="1" applyFill="1" applyBorder="1" applyAlignment="1" applyProtection="1">
      <alignment vertical="center" wrapText="1"/>
      <protection hidden="1"/>
    </xf>
    <xf numFmtId="4" fontId="20" fillId="5" borderId="91" xfId="0" applyNumberFormat="1" applyFont="1" applyFill="1" applyBorder="1" applyAlignment="1" applyProtection="1">
      <alignment horizontal="center" vertical="center" wrapText="1"/>
      <protection hidden="1"/>
    </xf>
    <xf numFmtId="0" fontId="16" fillId="5" borderId="92" xfId="0" applyFont="1" applyFill="1" applyBorder="1" applyAlignment="1" applyProtection="1">
      <alignment/>
      <protection hidden="1"/>
    </xf>
    <xf numFmtId="0" fontId="16" fillId="0" borderId="93" xfId="0" applyFont="1" applyFill="1" applyBorder="1" applyAlignment="1" applyProtection="1">
      <alignment/>
      <protection hidden="1"/>
    </xf>
    <xf numFmtId="0" fontId="2" fillId="5" borderId="92" xfId="0" applyFont="1" applyFill="1" applyBorder="1" applyAlignment="1" applyProtection="1">
      <alignment/>
      <protection hidden="1"/>
    </xf>
    <xf numFmtId="4" fontId="20" fillId="5" borderId="94" xfId="0" applyNumberFormat="1" applyFont="1" applyFill="1" applyBorder="1" applyAlignment="1" applyProtection="1">
      <alignment vertical="center" wrapText="1"/>
      <protection hidden="1"/>
    </xf>
    <xf numFmtId="4" fontId="20" fillId="5" borderId="95" xfId="0" applyNumberFormat="1" applyFont="1" applyFill="1" applyBorder="1" applyAlignment="1" applyProtection="1">
      <alignment horizontal="center" vertical="center" wrapText="1"/>
      <protection hidden="1"/>
    </xf>
    <xf numFmtId="0" fontId="16" fillId="5" borderId="93" xfId="0" applyFont="1" applyFill="1" applyBorder="1" applyAlignment="1" applyProtection="1">
      <alignment/>
      <protection hidden="1"/>
    </xf>
    <xf numFmtId="4" fontId="20" fillId="5" borderId="93" xfId="0" applyNumberFormat="1" applyFont="1" applyFill="1" applyBorder="1" applyAlignment="1" applyProtection="1">
      <alignment vertical="center" wrapText="1"/>
      <protection hidden="1"/>
    </xf>
    <xf numFmtId="4" fontId="20" fillId="5" borderId="96" xfId="0" applyNumberFormat="1" applyFont="1" applyFill="1" applyBorder="1" applyAlignment="1" applyProtection="1">
      <alignment vertical="center" wrapText="1"/>
      <protection hidden="1"/>
    </xf>
    <xf numFmtId="0" fontId="16" fillId="5" borderId="96" xfId="0" applyFont="1" applyFill="1" applyBorder="1" applyAlignment="1" applyProtection="1">
      <alignment/>
      <protection hidden="1"/>
    </xf>
    <xf numFmtId="0" fontId="16" fillId="5" borderId="96" xfId="0" applyFont="1" applyFill="1" applyBorder="1" applyAlignment="1" applyProtection="1">
      <alignment horizontal="center"/>
      <protection hidden="1"/>
    </xf>
    <xf numFmtId="0" fontId="27" fillId="5" borderId="93" xfId="0" applyFont="1" applyFill="1" applyBorder="1" applyAlignment="1" applyProtection="1">
      <alignment horizontal="center"/>
      <protection hidden="1"/>
    </xf>
    <xf numFmtId="0" fontId="17" fillId="5" borderId="93" xfId="0" applyFont="1" applyFill="1" applyBorder="1" applyAlignment="1" applyProtection="1">
      <alignment horizontal="center"/>
      <protection hidden="1"/>
    </xf>
    <xf numFmtId="0" fontId="17" fillId="5" borderId="96" xfId="0" applyFont="1" applyFill="1" applyBorder="1" applyAlignment="1" applyProtection="1">
      <alignment horizontal="center"/>
      <protection hidden="1"/>
    </xf>
    <xf numFmtId="0" fontId="2" fillId="5" borderId="96" xfId="0" applyFont="1" applyFill="1" applyBorder="1" applyAlignment="1" applyProtection="1">
      <alignment/>
      <protection hidden="1"/>
    </xf>
    <xf numFmtId="4" fontId="20" fillId="5" borderId="91" xfId="0" applyNumberFormat="1" applyFont="1" applyFill="1" applyBorder="1" applyAlignment="1" applyProtection="1">
      <alignment vertical="center" wrapText="1"/>
      <protection hidden="1"/>
    </xf>
    <xf numFmtId="4" fontId="20" fillId="5" borderId="95" xfId="0" applyNumberFormat="1" applyFont="1" applyFill="1" applyBorder="1" applyAlignment="1" applyProtection="1">
      <alignment vertical="center" wrapText="1"/>
      <protection hidden="1"/>
    </xf>
    <xf numFmtId="0" fontId="2" fillId="0" borderId="87" xfId="0" applyFont="1" applyFill="1" applyBorder="1" applyAlignment="1" applyProtection="1">
      <alignment/>
      <protection hidden="1"/>
    </xf>
    <xf numFmtId="4" fontId="60" fillId="5" borderId="96" xfId="0" applyNumberFormat="1" applyFont="1" applyFill="1" applyBorder="1" applyAlignment="1" applyProtection="1">
      <alignment vertical="center" wrapText="1"/>
      <protection hidden="1"/>
    </xf>
    <xf numFmtId="175" fontId="63" fillId="0" borderId="11" xfId="0" applyNumberFormat="1" applyFont="1" applyFill="1" applyBorder="1" applyAlignment="1" applyProtection="1">
      <alignment horizontal="center" vertical="center"/>
      <protection hidden="1"/>
    </xf>
    <xf numFmtId="175" fontId="63" fillId="5" borderId="11" xfId="0" applyNumberFormat="1" applyFont="1" applyFill="1" applyBorder="1" applyAlignment="1" applyProtection="1">
      <alignment horizontal="center" vertical="center"/>
      <protection hidden="1"/>
    </xf>
    <xf numFmtId="0" fontId="14" fillId="10" borderId="0" xfId="0" applyFont="1" applyFill="1" applyAlignment="1" applyProtection="1">
      <alignment/>
      <protection hidden="1"/>
    </xf>
    <xf numFmtId="2" fontId="48" fillId="10" borderId="0" xfId="0" applyNumberFormat="1" applyFont="1" applyFill="1" applyAlignment="1" applyProtection="1">
      <alignment/>
      <protection hidden="1"/>
    </xf>
    <xf numFmtId="2" fontId="48" fillId="10" borderId="0" xfId="0" applyNumberFormat="1" applyFont="1" applyFill="1" applyBorder="1" applyAlignment="1" applyProtection="1">
      <alignment/>
      <protection hidden="1"/>
    </xf>
    <xf numFmtId="0" fontId="16" fillId="10" borderId="35" xfId="0" applyFont="1" applyFill="1" applyBorder="1" applyAlignment="1" applyProtection="1">
      <alignment/>
      <protection hidden="1"/>
    </xf>
    <xf numFmtId="0" fontId="4" fillId="10" borderId="0" xfId="0" applyFont="1" applyFill="1" applyAlignment="1" applyProtection="1">
      <alignment/>
      <protection hidden="1"/>
    </xf>
    <xf numFmtId="0" fontId="50" fillId="10" borderId="21" xfId="0" applyFont="1" applyFill="1" applyBorder="1" applyAlignment="1" applyProtection="1">
      <alignment/>
      <protection hidden="1"/>
    </xf>
    <xf numFmtId="0" fontId="26" fillId="10" borderId="22" xfId="0" applyFont="1" applyFill="1" applyBorder="1" applyAlignment="1" applyProtection="1">
      <alignment/>
      <protection hidden="1"/>
    </xf>
    <xf numFmtId="0" fontId="26" fillId="10" borderId="0" xfId="0" applyFont="1" applyFill="1" applyBorder="1" applyAlignment="1" applyProtection="1">
      <alignment/>
      <protection hidden="1"/>
    </xf>
    <xf numFmtId="0" fontId="29" fillId="10" borderId="0" xfId="0" applyFont="1" applyFill="1" applyAlignment="1" applyProtection="1">
      <alignment/>
      <protection hidden="1"/>
    </xf>
    <xf numFmtId="0" fontId="2" fillId="6" borderId="19" xfId="0" applyFont="1" applyFill="1" applyBorder="1" applyAlignment="1" applyProtection="1">
      <alignment horizontal="left"/>
      <protection hidden="1"/>
    </xf>
    <xf numFmtId="49" fontId="2" fillId="6" borderId="0" xfId="0" applyNumberFormat="1" applyFont="1" applyFill="1" applyBorder="1" applyAlignment="1" applyProtection="1">
      <alignment/>
      <protection hidden="1"/>
    </xf>
    <xf numFmtId="49" fontId="2" fillId="6" borderId="19" xfId="0" applyNumberFormat="1" applyFont="1" applyFill="1" applyBorder="1" applyAlignment="1" applyProtection="1">
      <alignment/>
      <protection hidden="1"/>
    </xf>
    <xf numFmtId="0" fontId="2" fillId="6" borderId="21" xfId="0" applyFont="1" applyFill="1" applyBorder="1" applyAlignment="1" applyProtection="1">
      <alignment horizontal="left"/>
      <protection hidden="1"/>
    </xf>
    <xf numFmtId="0" fontId="2" fillId="6" borderId="23" xfId="0" applyFont="1" applyFill="1" applyBorder="1" applyAlignment="1" applyProtection="1">
      <alignment horizontal="right"/>
      <protection hidden="1"/>
    </xf>
    <xf numFmtId="2" fontId="2" fillId="6" borderId="13" xfId="0" applyNumberFormat="1" applyFont="1" applyFill="1" applyBorder="1" applyAlignment="1" applyProtection="1">
      <alignment/>
      <protection hidden="1"/>
    </xf>
    <xf numFmtId="0" fontId="2" fillId="6" borderId="0" xfId="0" applyFont="1" applyFill="1" applyAlignment="1" applyProtection="1">
      <alignment/>
      <protection hidden="1"/>
    </xf>
    <xf numFmtId="49" fontId="2" fillId="11" borderId="19" xfId="0" applyNumberFormat="1" applyFont="1" applyFill="1" applyBorder="1" applyAlignment="1" applyProtection="1">
      <alignment/>
      <protection hidden="1"/>
    </xf>
    <xf numFmtId="49" fontId="2" fillId="11" borderId="0" xfId="0" applyNumberFormat="1" applyFont="1" applyFill="1" applyBorder="1" applyAlignment="1" applyProtection="1">
      <alignment/>
      <protection hidden="1"/>
    </xf>
    <xf numFmtId="0" fontId="2" fillId="11" borderId="19" xfId="0" applyFont="1" applyFill="1" applyBorder="1" applyAlignment="1" applyProtection="1">
      <alignment horizontal="left"/>
      <protection hidden="1"/>
    </xf>
    <xf numFmtId="0" fontId="2" fillId="11" borderId="21" xfId="0" applyFont="1" applyFill="1" applyBorder="1" applyAlignment="1" applyProtection="1">
      <alignment horizontal="left"/>
      <protection hidden="1"/>
    </xf>
    <xf numFmtId="0" fontId="2" fillId="11" borderId="23" xfId="0" applyFont="1" applyFill="1" applyBorder="1" applyAlignment="1" applyProtection="1">
      <alignment horizontal="right"/>
      <protection hidden="1"/>
    </xf>
    <xf numFmtId="9" fontId="2" fillId="11" borderId="34" xfId="0" applyNumberFormat="1" applyFont="1" applyFill="1" applyBorder="1" applyAlignment="1" applyProtection="1">
      <alignment horizontal="left"/>
      <protection hidden="1"/>
    </xf>
    <xf numFmtId="165" fontId="2" fillId="11" borderId="34" xfId="0" applyNumberFormat="1" applyFont="1" applyFill="1" applyBorder="1" applyAlignment="1" applyProtection="1">
      <alignment/>
      <protection hidden="1"/>
    </xf>
    <xf numFmtId="165" fontId="16" fillId="13" borderId="22" xfId="0" applyNumberFormat="1" applyFont="1" applyFill="1" applyBorder="1" applyAlignment="1" applyProtection="1">
      <alignment/>
      <protection hidden="1"/>
    </xf>
    <xf numFmtId="165" fontId="16" fillId="13" borderId="23" xfId="0" applyNumberFormat="1" applyFont="1" applyFill="1" applyBorder="1" applyAlignment="1" applyProtection="1">
      <alignment/>
      <protection hidden="1"/>
    </xf>
    <xf numFmtId="0" fontId="16" fillId="13" borderId="0" xfId="0" applyFont="1" applyFill="1" applyBorder="1" applyAlignment="1" applyProtection="1">
      <alignment/>
      <protection hidden="1"/>
    </xf>
    <xf numFmtId="3" fontId="2" fillId="0" borderId="13" xfId="0" applyNumberFormat="1" applyFont="1" applyFill="1" applyBorder="1" applyAlignment="1" applyProtection="1">
      <alignment/>
      <protection hidden="1" locked="0"/>
    </xf>
    <xf numFmtId="2" fontId="2" fillId="11" borderId="13" xfId="0" applyNumberFormat="1" applyFont="1" applyFill="1" applyBorder="1" applyAlignment="1" applyProtection="1">
      <alignment/>
      <protection hidden="1"/>
    </xf>
    <xf numFmtId="2" fontId="2" fillId="6" borderId="13" xfId="0" applyNumberFormat="1" applyFont="1" applyFill="1" applyBorder="1" applyAlignment="1" applyProtection="1">
      <alignment/>
      <protection hidden="1"/>
    </xf>
    <xf numFmtId="0" fontId="16" fillId="13" borderId="35" xfId="0" applyFont="1" applyFill="1" applyBorder="1" applyAlignment="1" applyProtection="1">
      <alignment/>
      <protection hidden="1"/>
    </xf>
    <xf numFmtId="10" fontId="16" fillId="13" borderId="13" xfId="0" applyNumberFormat="1" applyFont="1" applyFill="1" applyBorder="1" applyAlignment="1" applyProtection="1">
      <alignment/>
      <protection hidden="1"/>
    </xf>
    <xf numFmtId="0" fontId="16" fillId="13" borderId="13" xfId="0" applyFont="1" applyFill="1" applyBorder="1" applyAlignment="1" applyProtection="1">
      <alignment/>
      <protection hidden="1"/>
    </xf>
    <xf numFmtId="0" fontId="16" fillId="13" borderId="22" xfId="0" applyFont="1" applyFill="1" applyBorder="1" applyAlignment="1" applyProtection="1">
      <alignment/>
      <protection hidden="1"/>
    </xf>
    <xf numFmtId="0" fontId="18" fillId="5" borderId="0" xfId="0" applyFont="1" applyFill="1" applyBorder="1" applyAlignment="1" applyProtection="1">
      <alignment/>
      <protection hidden="1" locked="0"/>
    </xf>
    <xf numFmtId="0" fontId="16" fillId="13" borderId="6" xfId="0" applyFont="1" applyFill="1" applyBorder="1" applyAlignment="1" applyProtection="1">
      <alignment/>
      <protection hidden="1"/>
    </xf>
    <xf numFmtId="0" fontId="48" fillId="14" borderId="13" xfId="0" applyFont="1" applyFill="1" applyBorder="1" applyAlignment="1" applyProtection="1">
      <alignment/>
      <protection hidden="1"/>
    </xf>
    <xf numFmtId="0" fontId="48" fillId="14" borderId="6" xfId="0" applyFont="1" applyFill="1" applyBorder="1" applyAlignment="1" applyProtection="1">
      <alignment/>
      <protection hidden="1"/>
    </xf>
    <xf numFmtId="165" fontId="16" fillId="13" borderId="13" xfId="0" applyNumberFormat="1" applyFont="1" applyFill="1" applyBorder="1" applyAlignment="1" applyProtection="1">
      <alignment/>
      <protection hidden="1"/>
    </xf>
    <xf numFmtId="9" fontId="2" fillId="6" borderId="36" xfId="0" applyNumberFormat="1" applyFont="1" applyFill="1" applyBorder="1" applyAlignment="1" applyProtection="1">
      <alignment horizontal="right"/>
      <protection hidden="1"/>
    </xf>
    <xf numFmtId="9" fontId="2" fillId="11" borderId="36" xfId="0" applyNumberFormat="1" applyFont="1" applyFill="1" applyBorder="1" applyAlignment="1" applyProtection="1">
      <alignment horizontal="right"/>
      <protection hidden="1"/>
    </xf>
    <xf numFmtId="0" fontId="2" fillId="6" borderId="19" xfId="0" applyFont="1" applyFill="1" applyBorder="1" applyAlignment="1" applyProtection="1">
      <alignment/>
      <protection hidden="1"/>
    </xf>
    <xf numFmtId="0" fontId="2" fillId="11" borderId="19" xfId="0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NumberFormat="1" applyFont="1" applyFill="1" applyAlignment="1" applyProtection="1">
      <alignment horizontal="right"/>
      <protection hidden="1"/>
    </xf>
    <xf numFmtId="0" fontId="58" fillId="3" borderId="9" xfId="0" applyFont="1" applyFill="1" applyBorder="1" applyAlignment="1" applyProtection="1">
      <alignment/>
      <protection hidden="1"/>
    </xf>
    <xf numFmtId="0" fontId="2" fillId="15" borderId="0" xfId="0" applyFont="1" applyFill="1" applyAlignment="1" applyProtection="1">
      <alignment/>
      <protection hidden="1"/>
    </xf>
    <xf numFmtId="0" fontId="2" fillId="16" borderId="0" xfId="0" applyFont="1" applyFill="1" applyAlignment="1" applyProtection="1">
      <alignment/>
      <protection hidden="1"/>
    </xf>
    <xf numFmtId="9" fontId="2" fillId="0" borderId="36" xfId="0" applyNumberFormat="1" applyFont="1" applyFill="1" applyBorder="1" applyAlignment="1" applyProtection="1">
      <alignment horizontal="right"/>
      <protection hidden="1" locked="0"/>
    </xf>
    <xf numFmtId="9" fontId="2" fillId="0" borderId="7" xfId="0" applyNumberFormat="1" applyFont="1" applyFill="1" applyBorder="1" applyAlignment="1" applyProtection="1">
      <alignment horizontal="right"/>
      <protection hidden="1" locked="0"/>
    </xf>
    <xf numFmtId="0" fontId="16" fillId="17" borderId="0" xfId="0" applyFon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0" fontId="24" fillId="17" borderId="13" xfId="0" applyFont="1" applyFill="1" applyBorder="1" applyAlignment="1" applyProtection="1">
      <alignment/>
      <protection hidden="1"/>
    </xf>
    <xf numFmtId="0" fontId="16" fillId="18" borderId="1" xfId="0" applyFont="1" applyFill="1" applyBorder="1" applyAlignment="1" applyProtection="1">
      <alignment/>
      <protection hidden="1"/>
    </xf>
    <xf numFmtId="0" fontId="16" fillId="18" borderId="2" xfId="0" applyFont="1" applyFill="1" applyBorder="1" applyAlignment="1" applyProtection="1">
      <alignment/>
      <protection hidden="1"/>
    </xf>
    <xf numFmtId="0" fontId="12" fillId="18" borderId="2" xfId="0" applyFont="1" applyFill="1" applyBorder="1" applyAlignment="1" applyProtection="1">
      <alignment/>
      <protection hidden="1"/>
    </xf>
    <xf numFmtId="0" fontId="16" fillId="18" borderId="3" xfId="0" applyFont="1" applyFill="1" applyBorder="1" applyAlignment="1" applyProtection="1">
      <alignment/>
      <protection hidden="1"/>
    </xf>
    <xf numFmtId="0" fontId="16" fillId="17" borderId="13" xfId="0" applyFont="1" applyFill="1" applyBorder="1" applyAlignment="1" applyProtection="1">
      <alignment/>
      <protection hidden="1"/>
    </xf>
    <xf numFmtId="0" fontId="16" fillId="18" borderId="4" xfId="0" applyFont="1" applyFill="1" applyBorder="1" applyAlignment="1" applyProtection="1">
      <alignment/>
      <protection hidden="1"/>
    </xf>
    <xf numFmtId="0" fontId="16" fillId="18" borderId="0" xfId="0" applyFont="1" applyFill="1" applyBorder="1" applyAlignment="1" applyProtection="1">
      <alignment/>
      <protection hidden="1"/>
    </xf>
    <xf numFmtId="0" fontId="12" fillId="18" borderId="0" xfId="0" applyFont="1" applyFill="1" applyBorder="1" applyAlignment="1" applyProtection="1">
      <alignment/>
      <protection hidden="1"/>
    </xf>
    <xf numFmtId="0" fontId="16" fillId="18" borderId="5" xfId="0" applyFont="1" applyFill="1" applyBorder="1" applyAlignment="1" applyProtection="1">
      <alignment/>
      <protection hidden="1"/>
    </xf>
    <xf numFmtId="0" fontId="16" fillId="17" borderId="0" xfId="0" applyFont="1" applyFill="1" applyAlignment="1" applyProtection="1">
      <alignment horizontal="left"/>
      <protection hidden="1"/>
    </xf>
    <xf numFmtId="0" fontId="64" fillId="18" borderId="0" xfId="0" applyFont="1" applyFill="1" applyBorder="1" applyAlignment="1" applyProtection="1">
      <alignment vertical="top" wrapText="1"/>
      <protection hidden="1"/>
    </xf>
    <xf numFmtId="0" fontId="25" fillId="18" borderId="0" xfId="0" applyFont="1" applyFill="1" applyBorder="1" applyAlignment="1" applyProtection="1">
      <alignment horizontal="center"/>
      <protection hidden="1"/>
    </xf>
    <xf numFmtId="0" fontId="16" fillId="17" borderId="33" xfId="0" applyFont="1" applyFill="1" applyBorder="1" applyAlignment="1" applyProtection="1">
      <alignment/>
      <protection hidden="1"/>
    </xf>
    <xf numFmtId="0" fontId="39" fillId="18" borderId="0" xfId="0" applyFont="1" applyFill="1" applyBorder="1" applyAlignment="1" applyProtection="1">
      <alignment wrapText="1"/>
      <protection hidden="1"/>
    </xf>
    <xf numFmtId="0" fontId="16" fillId="17" borderId="0" xfId="0" applyFont="1" applyFill="1" applyBorder="1" applyAlignment="1" applyProtection="1">
      <alignment/>
      <protection hidden="1"/>
    </xf>
    <xf numFmtId="0" fontId="39" fillId="18" borderId="0" xfId="0" applyFont="1" applyFill="1" applyBorder="1" applyAlignment="1" applyProtection="1">
      <alignment vertical="top" wrapText="1"/>
      <protection hidden="1"/>
    </xf>
    <xf numFmtId="0" fontId="16" fillId="18" borderId="97" xfId="0" applyFont="1" applyFill="1" applyBorder="1" applyAlignment="1" applyProtection="1">
      <alignment/>
      <protection hidden="1"/>
    </xf>
    <xf numFmtId="0" fontId="17" fillId="18" borderId="0" xfId="0" applyFont="1" applyFill="1" applyBorder="1" applyAlignment="1" applyProtection="1">
      <alignment horizontal="center"/>
      <protection hidden="1"/>
    </xf>
    <xf numFmtId="0" fontId="17" fillId="18" borderId="98" xfId="0" applyFont="1" applyFill="1" applyBorder="1" applyAlignment="1" applyProtection="1">
      <alignment horizontal="center"/>
      <protection hidden="1"/>
    </xf>
    <xf numFmtId="0" fontId="16" fillId="18" borderId="99" xfId="0" applyFont="1" applyFill="1" applyBorder="1" applyAlignment="1" applyProtection="1">
      <alignment/>
      <protection hidden="1"/>
    </xf>
    <xf numFmtId="0" fontId="18" fillId="18" borderId="99" xfId="0" applyFont="1" applyFill="1" applyBorder="1" applyAlignment="1" applyProtection="1">
      <alignment/>
      <protection hidden="1"/>
    </xf>
    <xf numFmtId="0" fontId="16" fillId="18" borderId="98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18" borderId="0" xfId="0" applyFont="1" applyFill="1" applyBorder="1" applyAlignment="1" applyProtection="1">
      <alignment/>
      <protection hidden="1"/>
    </xf>
    <xf numFmtId="3" fontId="2" fillId="18" borderId="0" xfId="0" applyNumberFormat="1" applyFont="1" applyFill="1" applyBorder="1" applyAlignment="1" applyProtection="1">
      <alignment/>
      <protection hidden="1"/>
    </xf>
    <xf numFmtId="4" fontId="14" fillId="8" borderId="11" xfId="0" applyNumberFormat="1" applyFont="1" applyFill="1" applyBorder="1" applyAlignment="1" applyProtection="1">
      <alignment horizontal="right"/>
      <protection hidden="1"/>
    </xf>
    <xf numFmtId="0" fontId="16" fillId="18" borderId="100" xfId="0" applyFont="1" applyFill="1" applyBorder="1" applyAlignment="1" applyProtection="1">
      <alignment/>
      <protection hidden="1"/>
    </xf>
    <xf numFmtId="0" fontId="22" fillId="18" borderId="0" xfId="0" applyFont="1" applyFill="1" applyBorder="1" applyAlignment="1" applyProtection="1">
      <alignment/>
      <protection hidden="1"/>
    </xf>
    <xf numFmtId="0" fontId="16" fillId="18" borderId="101" xfId="0" applyFont="1" applyFill="1" applyBorder="1" applyAlignment="1" applyProtection="1">
      <alignment/>
      <protection hidden="1"/>
    </xf>
    <xf numFmtId="4" fontId="14" fillId="18" borderId="11" xfId="0" applyNumberFormat="1" applyFont="1" applyFill="1" applyBorder="1" applyAlignment="1" applyProtection="1">
      <alignment/>
      <protection hidden="1" locked="0"/>
    </xf>
    <xf numFmtId="4" fontId="2" fillId="18" borderId="0" xfId="0" applyNumberFormat="1" applyFont="1" applyFill="1" applyBorder="1" applyAlignment="1" applyProtection="1">
      <alignment/>
      <protection hidden="1"/>
    </xf>
    <xf numFmtId="3" fontId="23" fillId="18" borderId="0" xfId="0" applyNumberFormat="1" applyFont="1" applyFill="1" applyBorder="1" applyAlignment="1" applyProtection="1">
      <alignment/>
      <protection hidden="1"/>
    </xf>
    <xf numFmtId="0" fontId="23" fillId="18" borderId="0" xfId="0" applyFont="1" applyFill="1" applyBorder="1" applyAlignment="1" applyProtection="1">
      <alignment/>
      <protection hidden="1"/>
    </xf>
    <xf numFmtId="9" fontId="16" fillId="17" borderId="13" xfId="0" applyNumberFormat="1" applyFont="1" applyFill="1" applyBorder="1" applyAlignment="1" applyProtection="1">
      <alignment/>
      <protection hidden="1"/>
    </xf>
    <xf numFmtId="0" fontId="24" fillId="18" borderId="4" xfId="0" applyFont="1" applyFill="1" applyBorder="1" applyAlignment="1" applyProtection="1">
      <alignment horizontal="left"/>
      <protection hidden="1"/>
    </xf>
    <xf numFmtId="0" fontId="14" fillId="18" borderId="0" xfId="0" applyFont="1" applyFill="1" applyBorder="1" applyAlignment="1" applyProtection="1">
      <alignment wrapText="1"/>
      <protection hidden="1"/>
    </xf>
    <xf numFmtId="0" fontId="27" fillId="18" borderId="100" xfId="0" applyFont="1" applyFill="1" applyBorder="1" applyAlignment="1" applyProtection="1">
      <alignment/>
      <protection hidden="1"/>
    </xf>
    <xf numFmtId="175" fontId="14" fillId="18" borderId="0" xfId="0" applyNumberFormat="1" applyFont="1" applyFill="1" applyBorder="1" applyAlignment="1" applyProtection="1">
      <alignment horizontal="left"/>
      <protection hidden="1"/>
    </xf>
    <xf numFmtId="10" fontId="16" fillId="17" borderId="13" xfId="0" applyNumberFormat="1" applyFont="1" applyFill="1" applyBorder="1" applyAlignment="1" applyProtection="1">
      <alignment/>
      <protection hidden="1"/>
    </xf>
    <xf numFmtId="0" fontId="24" fillId="18" borderId="0" xfId="0" applyFont="1" applyFill="1" applyBorder="1" applyAlignment="1" applyProtection="1">
      <alignment horizontal="left"/>
      <protection hidden="1"/>
    </xf>
    <xf numFmtId="0" fontId="68" fillId="18" borderId="0" xfId="0" applyFont="1" applyFill="1" applyBorder="1" applyAlignment="1" applyProtection="1">
      <alignment/>
      <protection hidden="1"/>
    </xf>
    <xf numFmtId="4" fontId="14" fillId="18" borderId="99" xfId="0" applyNumberFormat="1" applyFont="1" applyFill="1" applyBorder="1" applyAlignment="1" applyProtection="1">
      <alignment/>
      <protection hidden="1"/>
    </xf>
    <xf numFmtId="0" fontId="26" fillId="17" borderId="22" xfId="0" applyFont="1" applyFill="1" applyBorder="1" applyAlignment="1" applyProtection="1">
      <alignment/>
      <protection hidden="1"/>
    </xf>
    <xf numFmtId="3" fontId="14" fillId="18" borderId="11" xfId="0" applyNumberFormat="1" applyFont="1" applyFill="1" applyBorder="1" applyAlignment="1" applyProtection="1">
      <alignment/>
      <protection hidden="1" locked="0"/>
    </xf>
    <xf numFmtId="4" fontId="15" fillId="18" borderId="102" xfId="0" applyNumberFormat="1" applyFont="1" applyFill="1" applyBorder="1" applyAlignment="1" applyProtection="1">
      <alignment/>
      <protection hidden="1"/>
    </xf>
    <xf numFmtId="10" fontId="16" fillId="8" borderId="12" xfId="0" applyNumberFormat="1" applyFont="1" applyFill="1" applyBorder="1" applyAlignment="1" applyProtection="1">
      <alignment/>
      <protection hidden="1"/>
    </xf>
    <xf numFmtId="0" fontId="14" fillId="18" borderId="99" xfId="0" applyFont="1" applyFill="1" applyBorder="1" applyAlignment="1" applyProtection="1">
      <alignment wrapText="1"/>
      <protection hidden="1"/>
    </xf>
    <xf numFmtId="0" fontId="16" fillId="18" borderId="0" xfId="0" applyFont="1" applyFill="1" applyBorder="1" applyAlignment="1" applyProtection="1">
      <alignment/>
      <protection hidden="1" locked="0"/>
    </xf>
    <xf numFmtId="0" fontId="17" fillId="18" borderId="100" xfId="0" applyFont="1" applyFill="1" applyBorder="1" applyAlignment="1" applyProtection="1">
      <alignment horizontal="center"/>
      <protection hidden="1"/>
    </xf>
    <xf numFmtId="10" fontId="14" fillId="8" borderId="11" xfId="0" applyNumberFormat="1" applyFont="1" applyFill="1" applyBorder="1" applyAlignment="1" applyProtection="1">
      <alignment/>
      <protection hidden="1"/>
    </xf>
    <xf numFmtId="0" fontId="27" fillId="18" borderId="0" xfId="0" applyFont="1" applyFill="1" applyBorder="1" applyAlignment="1" applyProtection="1">
      <alignment horizontal="center"/>
      <protection hidden="1"/>
    </xf>
    <xf numFmtId="10" fontId="16" fillId="18" borderId="0" xfId="0" applyNumberFormat="1" applyFont="1" applyFill="1" applyBorder="1" applyAlignment="1" applyProtection="1">
      <alignment horizontal="right"/>
      <protection hidden="1"/>
    </xf>
    <xf numFmtId="0" fontId="16" fillId="18" borderId="0" xfId="0" applyFont="1" applyFill="1" applyBorder="1" applyAlignment="1" applyProtection="1">
      <alignment horizontal="center"/>
      <protection hidden="1"/>
    </xf>
    <xf numFmtId="0" fontId="16" fillId="18" borderId="0" xfId="0" applyFont="1" applyFill="1" applyBorder="1" applyAlignment="1" applyProtection="1">
      <alignment wrapText="1"/>
      <protection hidden="1"/>
    </xf>
    <xf numFmtId="10" fontId="32" fillId="8" borderId="11" xfId="0" applyNumberFormat="1" applyFont="1" applyFill="1" applyBorder="1" applyAlignment="1" applyProtection="1">
      <alignment/>
      <protection hidden="1"/>
    </xf>
    <xf numFmtId="0" fontId="16" fillId="17" borderId="5" xfId="0" applyFont="1" applyFill="1" applyBorder="1" applyAlignment="1" applyProtection="1">
      <alignment/>
      <protection hidden="1"/>
    </xf>
    <xf numFmtId="0" fontId="29" fillId="18" borderId="9" xfId="0" applyFont="1" applyFill="1" applyBorder="1" applyAlignment="1" applyProtection="1">
      <alignment/>
      <protection hidden="1"/>
    </xf>
    <xf numFmtId="0" fontId="16" fillId="18" borderId="9" xfId="0" applyFont="1" applyFill="1" applyBorder="1" applyAlignment="1" applyProtection="1">
      <alignment/>
      <protection hidden="1"/>
    </xf>
    <xf numFmtId="0" fontId="24" fillId="17" borderId="4" xfId="0" applyFont="1" applyFill="1" applyBorder="1" applyAlignment="1" applyProtection="1">
      <alignment/>
      <protection hidden="1"/>
    </xf>
    <xf numFmtId="0" fontId="30" fillId="17" borderId="0" xfId="0" applyFont="1" applyFill="1" applyAlignment="1" applyProtection="1">
      <alignment/>
      <protection hidden="1"/>
    </xf>
    <xf numFmtId="187" fontId="16" fillId="17" borderId="0" xfId="0" applyNumberFormat="1" applyFont="1" applyFill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70" fillId="0" borderId="103" xfId="0" applyFont="1" applyBorder="1" applyAlignment="1">
      <alignment horizontal="center" wrapText="1"/>
    </xf>
    <xf numFmtId="0" fontId="70" fillId="0" borderId="104" xfId="0" applyFont="1" applyBorder="1" applyAlignment="1">
      <alignment horizontal="center" wrapText="1"/>
    </xf>
    <xf numFmtId="0" fontId="70" fillId="0" borderId="105" xfId="0" applyFont="1" applyBorder="1" applyAlignment="1">
      <alignment horizontal="center" vertical="top" wrapText="1"/>
    </xf>
    <xf numFmtId="0" fontId="70" fillId="0" borderId="10" xfId="0" applyFont="1" applyBorder="1" applyAlignment="1">
      <alignment vertical="top" wrapText="1"/>
    </xf>
    <xf numFmtId="0" fontId="70" fillId="0" borderId="10" xfId="0" applyFont="1" applyBorder="1" applyAlignment="1">
      <alignment horizontal="center" wrapText="1"/>
    </xf>
    <xf numFmtId="0" fontId="71" fillId="0" borderId="10" xfId="0" applyFont="1" applyBorder="1" applyAlignment="1">
      <alignment vertical="top" wrapText="1"/>
    </xf>
    <xf numFmtId="0" fontId="71" fillId="0" borderId="10" xfId="0" applyFont="1" applyBorder="1" applyAlignment="1">
      <alignment horizontal="center" vertical="top" wrapText="1"/>
    </xf>
    <xf numFmtId="0" fontId="70" fillId="0" borderId="10" xfId="0" applyFont="1" applyBorder="1" applyAlignment="1">
      <alignment horizontal="justify" vertical="top" wrapText="1"/>
    </xf>
    <xf numFmtId="0" fontId="70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wrapText="1"/>
    </xf>
    <xf numFmtId="0" fontId="70" fillId="0" borderId="10" xfId="0" applyFont="1" applyBorder="1" applyAlignment="1">
      <alignment wrapText="1"/>
    </xf>
    <xf numFmtId="0" fontId="16" fillId="0" borderId="0" xfId="0" applyFont="1" applyAlignment="1" applyProtection="1">
      <alignment horizontal="justify"/>
      <protection hidden="1"/>
    </xf>
    <xf numFmtId="0" fontId="69" fillId="0" borderId="0" xfId="0" applyFont="1" applyAlignment="1" applyProtection="1">
      <alignment horizontal="left"/>
      <protection hidden="1"/>
    </xf>
    <xf numFmtId="0" fontId="8" fillId="6" borderId="33" xfId="0" applyFont="1" applyFill="1" applyBorder="1" applyAlignment="1" applyProtection="1">
      <alignment/>
      <protection hidden="1"/>
    </xf>
    <xf numFmtId="165" fontId="2" fillId="6" borderId="0" xfId="0" applyNumberFormat="1" applyFont="1" applyFill="1" applyBorder="1" applyAlignment="1" applyProtection="1">
      <alignment/>
      <protection hidden="1" locked="0"/>
    </xf>
    <xf numFmtId="9" fontId="2" fillId="6" borderId="13" xfId="0" applyNumberFormat="1" applyFont="1" applyFill="1" applyBorder="1" applyAlignment="1" applyProtection="1">
      <alignment horizontal="left"/>
      <protection hidden="1"/>
    </xf>
    <xf numFmtId="10" fontId="2" fillId="6" borderId="13" xfId="0" applyNumberFormat="1" applyFont="1" applyFill="1" applyBorder="1" applyAlignment="1" applyProtection="1">
      <alignment/>
      <protection hidden="1"/>
    </xf>
    <xf numFmtId="0" fontId="73" fillId="6" borderId="0" xfId="0" applyFont="1" applyFill="1" applyBorder="1" applyAlignment="1" applyProtection="1">
      <alignment/>
      <protection hidden="1"/>
    </xf>
    <xf numFmtId="9" fontId="21" fillId="6" borderId="0" xfId="0" applyNumberFormat="1" applyFont="1" applyFill="1" applyBorder="1" applyAlignment="1" applyProtection="1">
      <alignment/>
      <protection hidden="1"/>
    </xf>
    <xf numFmtId="0" fontId="21" fillId="6" borderId="0" xfId="0" applyFont="1" applyFill="1" applyBorder="1" applyAlignment="1" applyProtection="1">
      <alignment horizontal="center"/>
      <protection hidden="1"/>
    </xf>
    <xf numFmtId="0" fontId="74" fillId="6" borderId="0" xfId="0" applyFont="1" applyFill="1" applyBorder="1" applyAlignment="1" applyProtection="1">
      <alignment/>
      <protection hidden="1"/>
    </xf>
    <xf numFmtId="10" fontId="21" fillId="6" borderId="0" xfId="0" applyNumberFormat="1" applyFont="1" applyFill="1" applyBorder="1" applyAlignment="1" applyProtection="1">
      <alignment/>
      <protection hidden="1"/>
    </xf>
    <xf numFmtId="0" fontId="23" fillId="18" borderId="0" xfId="0" applyFont="1" applyFill="1" applyBorder="1" applyAlignment="1" applyProtection="1">
      <alignment horizontal="left" vertical="top"/>
      <protection hidden="1"/>
    </xf>
    <xf numFmtId="0" fontId="14" fillId="18" borderId="0" xfId="0" applyFont="1" applyFill="1" applyBorder="1" applyAlignment="1" applyProtection="1">
      <alignment horizontal="left"/>
      <protection hidden="1"/>
    </xf>
    <xf numFmtId="0" fontId="8" fillId="6" borderId="0" xfId="0" applyFont="1" applyFill="1" applyBorder="1" applyAlignment="1" applyProtection="1">
      <alignment/>
      <protection hidden="1"/>
    </xf>
    <xf numFmtId="3" fontId="2" fillId="6" borderId="13" xfId="0" applyNumberFormat="1" applyFont="1" applyFill="1" applyBorder="1" applyAlignment="1" applyProtection="1">
      <alignment horizontal="left"/>
      <protection hidden="1"/>
    </xf>
    <xf numFmtId="0" fontId="16" fillId="0" borderId="0" xfId="0" applyFont="1" applyFill="1" applyAlignment="1" applyProtection="1">
      <alignment horizontal="left"/>
      <protection hidden="1"/>
    </xf>
    <xf numFmtId="0" fontId="75" fillId="17" borderId="13" xfId="0" applyFont="1" applyFill="1" applyBorder="1" applyAlignment="1" applyProtection="1">
      <alignment/>
      <protection hidden="1"/>
    </xf>
    <xf numFmtId="0" fontId="24" fillId="17" borderId="19" xfId="0" applyFont="1" applyFill="1" applyBorder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 locked="0"/>
    </xf>
    <xf numFmtId="9" fontId="2" fillId="6" borderId="0" xfId="0" applyNumberFormat="1" applyFont="1" applyFill="1" applyBorder="1" applyAlignment="1" applyProtection="1">
      <alignment/>
      <protection hidden="1"/>
    </xf>
    <xf numFmtId="166" fontId="2" fillId="2" borderId="0" xfId="0" applyNumberFormat="1" applyFont="1" applyFill="1" applyBorder="1" applyAlignment="1" applyProtection="1">
      <alignment horizontal="left" vertical="top" wrapText="1"/>
      <protection hidden="1"/>
    </xf>
    <xf numFmtId="166" fontId="2" fillId="2" borderId="22" xfId="0" applyNumberFormat="1" applyFont="1" applyFill="1" applyBorder="1" applyAlignment="1" applyProtection="1">
      <alignment horizontal="left" vertical="top" wrapText="1"/>
      <protection hidden="1"/>
    </xf>
    <xf numFmtId="0" fontId="19" fillId="3" borderId="85" xfId="0" applyFont="1" applyFill="1" applyBorder="1" applyAlignment="1" applyProtection="1">
      <alignment horizontal="center" vertical="center" shrinkToFit="1"/>
      <protection hidden="1"/>
    </xf>
    <xf numFmtId="0" fontId="2" fillId="2" borderId="22" xfId="0" applyFont="1" applyFill="1" applyBorder="1" applyAlignment="1" applyProtection="1" quotePrefix="1">
      <alignment horizontal="left" vertical="top" wrapText="1"/>
      <protection hidden="1"/>
    </xf>
    <xf numFmtId="0" fontId="2" fillId="2" borderId="0" xfId="0" applyFont="1" applyFill="1" applyBorder="1" applyAlignment="1" applyProtection="1" quotePrefix="1">
      <alignment horizontal="left" vertical="top" wrapText="1"/>
      <protection hidden="1"/>
    </xf>
    <xf numFmtId="166" fontId="2" fillId="2" borderId="22" xfId="0" applyNumberFormat="1" applyFont="1" applyFill="1" applyBorder="1" applyAlignment="1" applyProtection="1" quotePrefix="1">
      <alignment horizontal="left" vertical="top" wrapText="1"/>
      <protection hidden="1"/>
    </xf>
    <xf numFmtId="0" fontId="2" fillId="3" borderId="16" xfId="0" applyFont="1" applyFill="1" applyBorder="1" applyAlignment="1" applyProtection="1">
      <alignment horizontal="left" vertical="top" wrapText="1"/>
      <protection hidden="1"/>
    </xf>
    <xf numFmtId="0" fontId="18" fillId="3" borderId="0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13" fillId="5" borderId="0" xfId="0" applyFont="1" applyFill="1" applyBorder="1" applyAlignment="1" applyProtection="1">
      <alignment horizontal="center"/>
      <protection hidden="1"/>
    </xf>
    <xf numFmtId="0" fontId="19" fillId="3" borderId="106" xfId="0" applyFont="1" applyFill="1" applyBorder="1" applyAlignment="1" applyProtection="1">
      <alignment horizontal="center" vertical="center" shrinkToFit="1"/>
      <protection hidden="1"/>
    </xf>
    <xf numFmtId="0" fontId="10" fillId="3" borderId="107" xfId="0" applyFont="1" applyFill="1" applyBorder="1" applyAlignment="1" applyProtection="1">
      <alignment horizontal="center" vertical="center"/>
      <protection hidden="1"/>
    </xf>
    <xf numFmtId="0" fontId="10" fillId="3" borderId="108" xfId="0" applyFont="1" applyFill="1" applyBorder="1" applyAlignment="1" applyProtection="1">
      <alignment horizontal="center" vertical="center"/>
      <protection hidden="1"/>
    </xf>
    <xf numFmtId="0" fontId="19" fillId="3" borderId="84" xfId="0" applyFont="1" applyFill="1" applyBorder="1" applyAlignment="1" applyProtection="1">
      <alignment horizontal="center" vertical="center" shrinkToFit="1"/>
      <protection hidden="1"/>
    </xf>
    <xf numFmtId="0" fontId="19" fillId="3" borderId="109" xfId="0" applyFont="1" applyFill="1" applyBorder="1" applyAlignment="1" applyProtection="1">
      <alignment horizontal="center" vertical="center" shrinkToFit="1"/>
      <protection hidden="1"/>
    </xf>
    <xf numFmtId="0" fontId="10" fillId="5" borderId="0" xfId="0" applyFont="1" applyFill="1" applyBorder="1" applyAlignment="1" applyProtection="1">
      <alignment horizontal="left" wrapText="1"/>
      <protection hidden="1"/>
    </xf>
    <xf numFmtId="0" fontId="18" fillId="5" borderId="110" xfId="0" applyFont="1" applyFill="1" applyBorder="1" applyAlignment="1" applyProtection="1">
      <alignment horizontal="center" vertical="justify"/>
      <protection hidden="1"/>
    </xf>
    <xf numFmtId="0" fontId="18" fillId="5" borderId="111" xfId="0" applyFont="1" applyFill="1" applyBorder="1" applyAlignment="1" applyProtection="1">
      <alignment horizontal="center" vertical="justify"/>
      <protection hidden="1"/>
    </xf>
    <xf numFmtId="0" fontId="18" fillId="5" borderId="112" xfId="0" applyFont="1" applyFill="1" applyBorder="1" applyAlignment="1" applyProtection="1">
      <alignment horizontal="center" vertical="justify"/>
      <protection hidden="1"/>
    </xf>
    <xf numFmtId="4" fontId="20" fillId="5" borderId="62" xfId="0" applyNumberFormat="1" applyFont="1" applyFill="1" applyBorder="1" applyAlignment="1" applyProtection="1">
      <alignment horizontal="center" vertical="center" wrapText="1"/>
      <protection hidden="1"/>
    </xf>
    <xf numFmtId="4" fontId="20" fillId="5" borderId="49" xfId="0" applyNumberFormat="1" applyFont="1" applyFill="1" applyBorder="1" applyAlignment="1" applyProtection="1">
      <alignment horizontal="center" vertical="center" wrapText="1"/>
      <protection hidden="1"/>
    </xf>
    <xf numFmtId="4" fontId="20" fillId="5" borderId="47" xfId="0" applyNumberFormat="1" applyFont="1" applyFill="1" applyBorder="1" applyAlignment="1" applyProtection="1">
      <alignment horizontal="center" vertical="center" wrapText="1"/>
      <protection hidden="1"/>
    </xf>
    <xf numFmtId="4" fontId="20" fillId="5" borderId="39" xfId="0" applyNumberFormat="1" applyFont="1" applyFill="1" applyBorder="1" applyAlignment="1" applyProtection="1">
      <alignment horizontal="center" vertical="center" wrapText="1"/>
      <protection hidden="1"/>
    </xf>
    <xf numFmtId="4" fontId="20" fillId="5" borderId="0" xfId="0" applyNumberFormat="1" applyFont="1" applyFill="1" applyBorder="1" applyAlignment="1" applyProtection="1">
      <alignment horizontal="center" vertical="center" wrapText="1"/>
      <protection hidden="1"/>
    </xf>
    <xf numFmtId="4" fontId="20" fillId="5" borderId="54" xfId="0" applyNumberFormat="1" applyFont="1" applyFill="1" applyBorder="1" applyAlignment="1" applyProtection="1">
      <alignment horizontal="center" vertical="center" wrapText="1"/>
      <protection hidden="1"/>
    </xf>
    <xf numFmtId="4" fontId="20" fillId="5" borderId="113" xfId="0" applyNumberFormat="1" applyFont="1" applyFill="1" applyBorder="1" applyAlignment="1" applyProtection="1">
      <alignment horizontal="center" vertical="center" wrapText="1"/>
      <protection hidden="1"/>
    </xf>
    <xf numFmtId="4" fontId="20" fillId="5" borderId="114" xfId="0" applyNumberFormat="1" applyFont="1" applyFill="1" applyBorder="1" applyAlignment="1" applyProtection="1">
      <alignment horizontal="center" vertical="center" wrapText="1"/>
      <protection hidden="1"/>
    </xf>
    <xf numFmtId="4" fontId="20" fillId="5" borderId="115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Fill="1" applyBorder="1" applyAlignment="1" applyProtection="1">
      <alignment horizontal="left" wrapText="1"/>
      <protection hidden="1"/>
    </xf>
    <xf numFmtId="0" fontId="42" fillId="5" borderId="0" xfId="0" applyFont="1" applyFill="1" applyBorder="1" applyAlignment="1" applyProtection="1">
      <alignment horizontal="left" wrapText="1"/>
      <protection hidden="1"/>
    </xf>
    <xf numFmtId="0" fontId="52" fillId="5" borderId="0" xfId="0" applyFont="1" applyFill="1" applyBorder="1" applyAlignment="1" applyProtection="1">
      <alignment horizontal="center" wrapText="1"/>
      <protection hidden="1"/>
    </xf>
    <xf numFmtId="0" fontId="52" fillId="5" borderId="114" xfId="0" applyFont="1" applyFill="1" applyBorder="1" applyAlignment="1" applyProtection="1">
      <alignment horizontal="center" wrapText="1"/>
      <protection hidden="1"/>
    </xf>
    <xf numFmtId="0" fontId="18" fillId="5" borderId="1" xfId="0" applyFont="1" applyFill="1" applyBorder="1" applyAlignment="1" applyProtection="1">
      <alignment horizontal="center" vertical="center"/>
      <protection hidden="1"/>
    </xf>
    <xf numFmtId="0" fontId="18" fillId="5" borderId="2" xfId="0" applyFont="1" applyFill="1" applyBorder="1" applyAlignment="1" applyProtection="1">
      <alignment horizontal="center" vertical="center"/>
      <protection hidden="1"/>
    </xf>
    <xf numFmtId="0" fontId="18" fillId="5" borderId="3" xfId="0" applyFont="1" applyFill="1" applyBorder="1" applyAlignment="1" applyProtection="1">
      <alignment horizontal="center" vertical="center"/>
      <protection hidden="1"/>
    </xf>
    <xf numFmtId="0" fontId="11" fillId="5" borderId="1" xfId="0" applyFont="1" applyFill="1" applyBorder="1" applyAlignment="1" applyProtection="1">
      <alignment horizontal="center" vertical="center"/>
      <protection hidden="1"/>
    </xf>
    <xf numFmtId="0" fontId="11" fillId="5" borderId="2" xfId="0" applyFont="1" applyFill="1" applyBorder="1" applyAlignment="1" applyProtection="1">
      <alignment horizontal="center" vertical="center"/>
      <protection hidden="1"/>
    </xf>
    <xf numFmtId="0" fontId="11" fillId="5" borderId="3" xfId="0" applyFont="1" applyFill="1" applyBorder="1" applyAlignment="1" applyProtection="1">
      <alignment horizontal="center" vertical="center"/>
      <protection hidden="1"/>
    </xf>
    <xf numFmtId="0" fontId="39" fillId="0" borderId="9" xfId="0" applyFont="1" applyFill="1" applyBorder="1" applyAlignment="1" applyProtection="1">
      <alignment horizontal="left" wrapText="1"/>
      <protection hidden="1"/>
    </xf>
    <xf numFmtId="0" fontId="11" fillId="5" borderId="116" xfId="0" applyFont="1" applyFill="1" applyBorder="1" applyAlignment="1" applyProtection="1">
      <alignment horizontal="center" vertical="justify"/>
      <protection hidden="1"/>
    </xf>
    <xf numFmtId="0" fontId="11" fillId="5" borderId="117" xfId="0" applyFont="1" applyFill="1" applyBorder="1" applyAlignment="1" applyProtection="1">
      <alignment horizontal="center" vertical="justify"/>
      <protection hidden="1"/>
    </xf>
    <xf numFmtId="0" fontId="11" fillId="5" borderId="118" xfId="0" applyFont="1" applyFill="1" applyBorder="1" applyAlignment="1" applyProtection="1">
      <alignment horizontal="center" vertical="justify"/>
      <protection hidden="1"/>
    </xf>
    <xf numFmtId="0" fontId="61" fillId="5" borderId="1" xfId="0" applyFont="1" applyFill="1" applyBorder="1" applyAlignment="1" applyProtection="1">
      <alignment horizontal="center" vertical="center"/>
      <protection hidden="1"/>
    </xf>
    <xf numFmtId="0" fontId="61" fillId="5" borderId="2" xfId="0" applyFont="1" applyFill="1" applyBorder="1" applyAlignment="1" applyProtection="1">
      <alignment horizontal="center" vertical="center"/>
      <protection hidden="1"/>
    </xf>
    <xf numFmtId="0" fontId="61" fillId="5" borderId="3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left" wrapText="1"/>
      <protection hidden="1"/>
    </xf>
    <xf numFmtId="0" fontId="34" fillId="0" borderId="9" xfId="0" applyFont="1" applyFill="1" applyBorder="1" applyAlignment="1" applyProtection="1">
      <alignment horizontal="left" wrapText="1"/>
      <protection hidden="1"/>
    </xf>
    <xf numFmtId="0" fontId="61" fillId="5" borderId="119" xfId="0" applyFont="1" applyFill="1" applyBorder="1" applyAlignment="1" applyProtection="1">
      <alignment horizontal="center" vertical="justify"/>
      <protection hidden="1"/>
    </xf>
    <xf numFmtId="0" fontId="61" fillId="5" borderId="120" xfId="0" applyFont="1" applyFill="1" applyBorder="1" applyAlignment="1" applyProtection="1">
      <alignment horizontal="center" vertical="justify"/>
      <protection hidden="1"/>
    </xf>
    <xf numFmtId="0" fontId="61" fillId="5" borderId="121" xfId="0" applyFont="1" applyFill="1" applyBorder="1" applyAlignment="1" applyProtection="1">
      <alignment horizontal="center" vertical="justify"/>
      <protection hidden="1"/>
    </xf>
    <xf numFmtId="0" fontId="23" fillId="18" borderId="0" xfId="0" applyFont="1" applyFill="1" applyBorder="1" applyAlignment="1" applyProtection="1">
      <alignment horizontal="left" vertical="top" wrapText="1"/>
      <protection hidden="1"/>
    </xf>
    <xf numFmtId="0" fontId="65" fillId="18" borderId="0" xfId="0" applyFont="1" applyFill="1" applyBorder="1" applyAlignment="1" applyProtection="1">
      <alignment horizontal="center"/>
      <protection hidden="1"/>
    </xf>
    <xf numFmtId="0" fontId="65" fillId="18" borderId="99" xfId="0" applyFont="1" applyFill="1" applyBorder="1" applyAlignment="1" applyProtection="1">
      <alignment horizontal="center" vertical="center"/>
      <protection hidden="1"/>
    </xf>
    <xf numFmtId="0" fontId="65" fillId="18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/>
      <protection hidden="1" locked="0"/>
    </xf>
    <xf numFmtId="0" fontId="16" fillId="18" borderId="13" xfId="0" applyFont="1" applyFill="1" applyBorder="1" applyAlignment="1" applyProtection="1">
      <alignment horizontal="left"/>
      <protection hidden="1"/>
    </xf>
    <xf numFmtId="175" fontId="22" fillId="18" borderId="122" xfId="0" applyNumberFormat="1" applyFont="1" applyFill="1" applyBorder="1" applyAlignment="1" applyProtection="1">
      <alignment horizontal="center"/>
      <protection hidden="1"/>
    </xf>
    <xf numFmtId="175" fontId="22" fillId="18" borderId="123" xfId="0" applyNumberFormat="1" applyFont="1" applyFill="1" applyBorder="1" applyAlignment="1" applyProtection="1">
      <alignment horizontal="center"/>
      <protection hidden="1"/>
    </xf>
    <xf numFmtId="0" fontId="14" fillId="18" borderId="0" xfId="0" applyFont="1" applyFill="1" applyBorder="1" applyAlignment="1" applyProtection="1">
      <alignment horizontal="left" vertical="center"/>
      <protection hidden="1"/>
    </xf>
    <xf numFmtId="175" fontId="67" fillId="18" borderId="122" xfId="0" applyNumberFormat="1" applyFont="1" applyFill="1" applyBorder="1" applyAlignment="1" applyProtection="1">
      <alignment horizontal="center" vertical="center"/>
      <protection hidden="1"/>
    </xf>
    <xf numFmtId="175" fontId="67" fillId="18" borderId="123" xfId="0" applyNumberFormat="1" applyFont="1" applyFill="1" applyBorder="1" applyAlignment="1" applyProtection="1">
      <alignment horizontal="center" vertical="center"/>
      <protection hidden="1"/>
    </xf>
    <xf numFmtId="0" fontId="14" fillId="18" borderId="0" xfId="0" applyFont="1" applyFill="1" applyBorder="1" applyAlignment="1" applyProtection="1">
      <alignment horizontal="left" wrapText="1"/>
      <protection hidden="1"/>
    </xf>
    <xf numFmtId="0" fontId="14" fillId="18" borderId="35" xfId="0" applyFont="1" applyFill="1" applyBorder="1" applyAlignment="1" applyProtection="1">
      <alignment horizontal="left"/>
      <protection hidden="1"/>
    </xf>
    <xf numFmtId="0" fontId="23" fillId="18" borderId="0" xfId="0" applyFont="1" applyFill="1" applyBorder="1" applyAlignment="1" applyProtection="1">
      <alignment horizontal="left" vertical="top"/>
      <protection hidden="1"/>
    </xf>
    <xf numFmtId="0" fontId="14" fillId="18" borderId="0" xfId="0" applyFont="1" applyFill="1" applyBorder="1" applyAlignment="1" applyProtection="1">
      <alignment horizontal="left"/>
      <protection hidden="1"/>
    </xf>
    <xf numFmtId="0" fontId="28" fillId="18" borderId="99" xfId="0" applyFont="1" applyFill="1" applyBorder="1" applyAlignment="1" applyProtection="1">
      <alignment horizontal="center" wrapText="1"/>
      <protection hidden="1"/>
    </xf>
    <xf numFmtId="0" fontId="28" fillId="18" borderId="114" xfId="0" applyFont="1" applyFill="1" applyBorder="1" applyAlignment="1" applyProtection="1">
      <alignment horizontal="center" wrapText="1"/>
      <protection hidden="1"/>
    </xf>
    <xf numFmtId="0" fontId="68" fillId="18" borderId="0" xfId="0" applyFont="1" applyFill="1" applyBorder="1" applyAlignment="1" applyProtection="1">
      <alignment horizontal="left"/>
      <protection hidden="1"/>
    </xf>
    <xf numFmtId="4" fontId="20" fillId="18" borderId="62" xfId="0" applyNumberFormat="1" applyFont="1" applyFill="1" applyBorder="1" applyAlignment="1" applyProtection="1">
      <alignment horizontal="center" vertical="center" wrapText="1"/>
      <protection hidden="1"/>
    </xf>
    <xf numFmtId="4" fontId="20" fillId="18" borderId="49" xfId="0" applyNumberFormat="1" applyFont="1" applyFill="1" applyBorder="1" applyAlignment="1" applyProtection="1">
      <alignment horizontal="center" vertical="center" wrapText="1"/>
      <protection hidden="1"/>
    </xf>
    <xf numFmtId="4" fontId="20" fillId="18" borderId="47" xfId="0" applyNumberFormat="1" applyFont="1" applyFill="1" applyBorder="1" applyAlignment="1" applyProtection="1">
      <alignment horizontal="center" vertical="center" wrapText="1"/>
      <protection hidden="1"/>
    </xf>
    <xf numFmtId="4" fontId="20" fillId="18" borderId="39" xfId="0" applyNumberFormat="1" applyFont="1" applyFill="1" applyBorder="1" applyAlignment="1" applyProtection="1">
      <alignment horizontal="center" vertical="center" wrapText="1"/>
      <protection hidden="1"/>
    </xf>
    <xf numFmtId="4" fontId="20" fillId="18" borderId="0" xfId="0" applyNumberFormat="1" applyFont="1" applyFill="1" applyBorder="1" applyAlignment="1" applyProtection="1">
      <alignment horizontal="center" vertical="center" wrapText="1"/>
      <protection hidden="1"/>
    </xf>
    <xf numFmtId="4" fontId="20" fillId="18" borderId="54" xfId="0" applyNumberFormat="1" applyFont="1" applyFill="1" applyBorder="1" applyAlignment="1" applyProtection="1">
      <alignment horizontal="center" vertical="center" wrapText="1"/>
      <protection hidden="1"/>
    </xf>
    <xf numFmtId="4" fontId="20" fillId="18" borderId="113" xfId="0" applyNumberFormat="1" applyFont="1" applyFill="1" applyBorder="1" applyAlignment="1" applyProtection="1">
      <alignment horizontal="center" vertical="center" wrapText="1"/>
      <protection hidden="1"/>
    </xf>
    <xf numFmtId="4" fontId="20" fillId="18" borderId="114" xfId="0" applyNumberFormat="1" applyFont="1" applyFill="1" applyBorder="1" applyAlignment="1" applyProtection="1">
      <alignment horizontal="center" vertical="center" wrapText="1"/>
      <protection hidden="1"/>
    </xf>
    <xf numFmtId="4" fontId="20" fillId="18" borderId="115" xfId="0" applyNumberFormat="1" applyFont="1" applyFill="1" applyBorder="1" applyAlignment="1" applyProtection="1">
      <alignment horizontal="center" vertical="center" wrapText="1"/>
      <protection hidden="1"/>
    </xf>
    <xf numFmtId="0" fontId="68" fillId="0" borderId="0" xfId="0" applyFont="1" applyFill="1" applyAlignment="1" applyProtection="1">
      <alignment horizontal="left"/>
      <protection hidden="1"/>
    </xf>
    <xf numFmtId="0" fontId="14" fillId="18" borderId="0" xfId="0" applyFont="1" applyFill="1" applyBorder="1" applyAlignment="1" applyProtection="1">
      <alignment/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70" fillId="0" borderId="124" xfId="0" applyFont="1" applyBorder="1" applyAlignment="1">
      <alignment horizontal="center" vertical="top" wrapText="1"/>
    </xf>
    <xf numFmtId="0" fontId="70" fillId="0" borderId="50" xfId="0" applyFont="1" applyBorder="1" applyAlignment="1">
      <alignment horizontal="center" vertical="top" wrapText="1"/>
    </xf>
    <xf numFmtId="0" fontId="70" fillId="0" borderId="105" xfId="0" applyFont="1" applyBorder="1" applyAlignment="1">
      <alignment horizontal="center" vertical="top" wrapText="1"/>
    </xf>
    <xf numFmtId="0" fontId="70" fillId="0" borderId="124" xfId="0" applyFont="1" applyBorder="1" applyAlignment="1">
      <alignment vertical="top" wrapText="1"/>
    </xf>
    <xf numFmtId="0" fontId="70" fillId="0" borderId="50" xfId="0" applyFont="1" applyBorder="1" applyAlignment="1">
      <alignment vertical="top" wrapText="1"/>
    </xf>
    <xf numFmtId="0" fontId="70" fillId="0" borderId="105" xfId="0" applyFont="1" applyBorder="1" applyAlignment="1">
      <alignment vertical="top" wrapText="1"/>
    </xf>
    <xf numFmtId="0" fontId="16" fillId="0" borderId="2" xfId="0" applyFont="1" applyBorder="1" applyAlignment="1" applyProtection="1">
      <alignment horizontal="justify" vertical="center" wrapText="1"/>
      <protection hidden="1"/>
    </xf>
    <xf numFmtId="0" fontId="16" fillId="0" borderId="2" xfId="0" applyFont="1" applyBorder="1" applyAlignment="1" applyProtection="1">
      <alignment horizontal="justify" vertical="center"/>
      <protection hidden="1"/>
    </xf>
    <xf numFmtId="0" fontId="52" fillId="0" borderId="0" xfId="0" applyFont="1" applyFill="1" applyBorder="1" applyAlignment="1" applyProtection="1">
      <alignment horizontal="center" wrapText="1"/>
      <protection hidden="1"/>
    </xf>
    <xf numFmtId="4" fontId="20" fillId="0" borderId="62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49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47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39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54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13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14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15" xfId="0" applyNumberFormat="1" applyFont="1" applyFill="1" applyBorder="1" applyAlignment="1" applyProtection="1">
      <alignment horizontal="center" vertical="center" wrapText="1"/>
      <protection hidden="1"/>
    </xf>
    <xf numFmtId="0" fontId="36" fillId="5" borderId="125" xfId="0" applyFont="1" applyFill="1" applyBorder="1" applyAlignment="1" applyProtection="1">
      <alignment horizontal="center" vertical="justify"/>
      <protection hidden="1"/>
    </xf>
    <xf numFmtId="0" fontId="36" fillId="5" borderId="126" xfId="0" applyFont="1" applyFill="1" applyBorder="1" applyAlignment="1" applyProtection="1">
      <alignment horizontal="center" vertical="justify"/>
      <protection hidden="1"/>
    </xf>
    <xf numFmtId="0" fontId="36" fillId="5" borderId="127" xfId="0" applyFont="1" applyFill="1" applyBorder="1" applyAlignment="1" applyProtection="1">
      <alignment horizontal="center" vertical="justify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36" fillId="0" borderId="1" xfId="0" applyFont="1" applyFill="1" applyBorder="1" applyAlignment="1" applyProtection="1">
      <alignment horizontal="center"/>
      <protection hidden="1"/>
    </xf>
    <xf numFmtId="0" fontId="36" fillId="0" borderId="2" xfId="0" applyFont="1" applyFill="1" applyBorder="1" applyAlignment="1" applyProtection="1">
      <alignment horizontal="center"/>
      <protection hidden="1"/>
    </xf>
    <xf numFmtId="0" fontId="36" fillId="0" borderId="3" xfId="0" applyFont="1" applyFill="1" applyBorder="1" applyAlignment="1" applyProtection="1">
      <alignment horizontal="center"/>
      <protection hidden="1"/>
    </xf>
    <xf numFmtId="0" fontId="52" fillId="0" borderId="114" xfId="0" applyFont="1" applyFill="1" applyBorder="1" applyAlignment="1" applyProtection="1">
      <alignment horizontal="center"/>
      <protection hidden="1"/>
    </xf>
    <xf numFmtId="0" fontId="2" fillId="11" borderId="128" xfId="0" applyFont="1" applyFill="1" applyBorder="1" applyAlignment="1" applyProtection="1">
      <alignment horizontal="left" vertical="top" wrapText="1"/>
      <protection hidden="1"/>
    </xf>
    <xf numFmtId="0" fontId="2" fillId="11" borderId="129" xfId="0" applyFont="1" applyFill="1" applyBorder="1" applyAlignment="1" applyProtection="1">
      <alignment horizontal="left" vertical="top" wrapText="1"/>
      <protection hidden="1"/>
    </xf>
    <xf numFmtId="0" fontId="2" fillId="11" borderId="130" xfId="0" applyFont="1" applyFill="1" applyBorder="1" applyAlignment="1" applyProtection="1">
      <alignment horizontal="left" vertical="top" wrapText="1"/>
      <protection hidden="1"/>
    </xf>
    <xf numFmtId="0" fontId="2" fillId="11" borderId="131" xfId="0" applyFont="1" applyFill="1" applyBorder="1" applyAlignment="1" applyProtection="1">
      <alignment horizontal="left" vertical="top" wrapText="1"/>
      <protection hidden="1"/>
    </xf>
    <xf numFmtId="0" fontId="2" fillId="11" borderId="132" xfId="0" applyFont="1" applyFill="1" applyBorder="1" applyAlignment="1" applyProtection="1">
      <alignment horizontal="left" vertical="top" wrapText="1"/>
      <protection hidden="1"/>
    </xf>
    <xf numFmtId="0" fontId="2" fillId="11" borderId="133" xfId="0" applyFont="1" applyFill="1" applyBorder="1" applyAlignment="1" applyProtection="1">
      <alignment horizontal="left" vertical="top" wrapText="1"/>
      <protection hidden="1"/>
    </xf>
    <xf numFmtId="0" fontId="2" fillId="6" borderId="128" xfId="0" applyFont="1" applyFill="1" applyBorder="1" applyAlignment="1" applyProtection="1">
      <alignment horizontal="left" vertical="top" wrapText="1"/>
      <protection hidden="1"/>
    </xf>
    <xf numFmtId="0" fontId="2" fillId="6" borderId="129" xfId="0" applyFont="1" applyFill="1" applyBorder="1" applyAlignment="1" applyProtection="1">
      <alignment horizontal="left" vertical="top" wrapText="1"/>
      <protection hidden="1"/>
    </xf>
    <xf numFmtId="0" fontId="2" fillId="6" borderId="130" xfId="0" applyFont="1" applyFill="1" applyBorder="1" applyAlignment="1" applyProtection="1">
      <alignment horizontal="left" vertical="top" wrapText="1"/>
      <protection hidden="1"/>
    </xf>
    <xf numFmtId="0" fontId="2" fillId="6" borderId="131" xfId="0" applyFont="1" applyFill="1" applyBorder="1" applyAlignment="1" applyProtection="1">
      <alignment horizontal="left" vertical="top" wrapText="1"/>
      <protection hidden="1"/>
    </xf>
    <xf numFmtId="0" fontId="2" fillId="6" borderId="133" xfId="0" applyFont="1" applyFill="1" applyBorder="1" applyAlignment="1" applyProtection="1">
      <alignment horizontal="left" vertical="top" wrapText="1"/>
      <protection hidden="1"/>
    </xf>
    <xf numFmtId="0" fontId="2" fillId="6" borderId="0" xfId="0" applyFont="1" applyFill="1" applyBorder="1" applyAlignment="1" applyProtection="1">
      <alignment horizontal="center"/>
      <protection hidden="1"/>
    </xf>
    <xf numFmtId="0" fontId="2" fillId="6" borderId="132" xfId="0" applyFont="1" applyFill="1" applyBorder="1" applyAlignment="1" applyProtection="1">
      <alignment horizontal="left" vertical="top" wrapText="1"/>
      <protection hidden="1"/>
    </xf>
    <xf numFmtId="0" fontId="2" fillId="11" borderId="0" xfId="0" applyFont="1" applyFill="1" applyBorder="1" applyAlignment="1" applyProtection="1">
      <alignment horizontal="left" vertical="top" wrapText="1"/>
      <protection hidden="1"/>
    </xf>
    <xf numFmtId="0" fontId="2" fillId="11" borderId="0" xfId="0" applyFont="1" applyFill="1" applyBorder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E8DB98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3657600</xdr:colOff>
      <xdr:row>1</xdr:row>
      <xdr:rowOff>47625</xdr:rowOff>
    </xdr:from>
    <xdr:to>
      <xdr:col>6</xdr:col>
      <xdr:colOff>123825</xdr:colOff>
      <xdr:row>3</xdr:row>
      <xdr:rowOff>123825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rcRect l="42451" t="27070" r="36914" b="58570"/>
        <a:stretch>
          <a:fillRect/>
        </a:stretch>
      </xdr:blipFill>
      <xdr:spPr>
        <a:xfrm>
          <a:off x="10829925" y="171450"/>
          <a:ext cx="9429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</xdr:row>
      <xdr:rowOff>66675</xdr:rowOff>
    </xdr:from>
    <xdr:to>
      <xdr:col>5</xdr:col>
      <xdr:colOff>1114425</xdr:colOff>
      <xdr:row>3</xdr:row>
      <xdr:rowOff>28575</xdr:rowOff>
    </xdr:to>
    <xdr:sp>
      <xdr:nvSpPr>
        <xdr:cNvPr id="1" name="AutoShape 119"/>
        <xdr:cNvSpPr>
          <a:spLocks/>
        </xdr:cNvSpPr>
      </xdr:nvSpPr>
      <xdr:spPr>
        <a:xfrm>
          <a:off x="704850" y="171450"/>
          <a:ext cx="46005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Автокредит "АК БАРС-Максимум"</a:t>
          </a:r>
        </a:p>
      </xdr:txBody>
    </xdr:sp>
    <xdr:clientData/>
  </xdr:twoCellAnchor>
  <xdr:twoCellAnchor editAs="oneCell">
    <xdr:from>
      <xdr:col>12</xdr:col>
      <xdr:colOff>1343025</xdr:colOff>
      <xdr:row>1</xdr:row>
      <xdr:rowOff>38100</xdr:rowOff>
    </xdr:from>
    <xdr:to>
      <xdr:col>15</xdr:col>
      <xdr:colOff>142875</xdr:colOff>
      <xdr:row>3</xdr:row>
      <xdr:rowOff>200025</xdr:rowOff>
    </xdr:to>
    <xdr:pic>
      <xdr:nvPicPr>
        <xdr:cNvPr id="2" name="Picture 120"/>
        <xdr:cNvPicPr preferRelativeResize="1">
          <a:picLocks noChangeAspect="1"/>
        </xdr:cNvPicPr>
      </xdr:nvPicPr>
      <xdr:blipFill>
        <a:blip r:embed="rId1"/>
        <a:srcRect l="42451" t="27070" r="36914" b="58570"/>
        <a:stretch>
          <a:fillRect/>
        </a:stretch>
      </xdr:blipFill>
      <xdr:spPr>
        <a:xfrm>
          <a:off x="11830050" y="142875"/>
          <a:ext cx="1085850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76200</xdr:rowOff>
    </xdr:from>
    <xdr:to>
      <xdr:col>5</xdr:col>
      <xdr:colOff>904875</xdr:colOff>
      <xdr:row>3</xdr:row>
      <xdr:rowOff>38100</xdr:rowOff>
    </xdr:to>
    <xdr:sp>
      <xdr:nvSpPr>
        <xdr:cNvPr id="1" name="AutoShape 4"/>
        <xdr:cNvSpPr>
          <a:spLocks/>
        </xdr:cNvSpPr>
      </xdr:nvSpPr>
      <xdr:spPr>
        <a:xfrm>
          <a:off x="495300" y="180975"/>
          <a:ext cx="46005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Автокредит "АК БАРС-Льготный"</a:t>
          </a:r>
        </a:p>
      </xdr:txBody>
    </xdr:sp>
    <xdr:clientData/>
  </xdr:twoCellAnchor>
  <xdr:twoCellAnchor editAs="oneCell">
    <xdr:from>
      <xdr:col>12</xdr:col>
      <xdr:colOff>1343025</xdr:colOff>
      <xdr:row>1</xdr:row>
      <xdr:rowOff>38100</xdr:rowOff>
    </xdr:from>
    <xdr:to>
      <xdr:col>15</xdr:col>
      <xdr:colOff>142875</xdr:colOff>
      <xdr:row>3</xdr:row>
      <xdr:rowOff>200025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rcRect l="42451" t="27070" r="36914" b="58570"/>
        <a:stretch>
          <a:fillRect/>
        </a:stretch>
      </xdr:blipFill>
      <xdr:spPr>
        <a:xfrm>
          <a:off x="11830050" y="142875"/>
          <a:ext cx="1085850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</xdr:row>
      <xdr:rowOff>76200</xdr:rowOff>
    </xdr:from>
    <xdr:to>
      <xdr:col>5</xdr:col>
      <xdr:colOff>1028700</xdr:colOff>
      <xdr:row>3</xdr:row>
      <xdr:rowOff>38100</xdr:rowOff>
    </xdr:to>
    <xdr:sp>
      <xdr:nvSpPr>
        <xdr:cNvPr id="1" name="AutoShape 4"/>
        <xdr:cNvSpPr>
          <a:spLocks/>
        </xdr:cNvSpPr>
      </xdr:nvSpPr>
      <xdr:spPr>
        <a:xfrm>
          <a:off x="476250" y="180975"/>
          <a:ext cx="4743450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Автокредит "АК БАРС-Статус"</a:t>
          </a:r>
        </a:p>
      </xdr:txBody>
    </xdr:sp>
    <xdr:clientData/>
  </xdr:twoCellAnchor>
  <xdr:twoCellAnchor editAs="oneCell">
    <xdr:from>
      <xdr:col>12</xdr:col>
      <xdr:colOff>1343025</xdr:colOff>
      <xdr:row>1</xdr:row>
      <xdr:rowOff>38100</xdr:rowOff>
    </xdr:from>
    <xdr:to>
      <xdr:col>15</xdr:col>
      <xdr:colOff>142875</xdr:colOff>
      <xdr:row>3</xdr:row>
      <xdr:rowOff>200025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rcRect l="42451" t="27070" r="36914" b="58570"/>
        <a:stretch>
          <a:fillRect/>
        </a:stretch>
      </xdr:blipFill>
      <xdr:spPr>
        <a:xfrm>
          <a:off x="11830050" y="142875"/>
          <a:ext cx="1085850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47625</xdr:rowOff>
    </xdr:from>
    <xdr:to>
      <xdr:col>5</xdr:col>
      <xdr:colOff>1524000</xdr:colOff>
      <xdr:row>3</xdr:row>
      <xdr:rowOff>9525</xdr:rowOff>
    </xdr:to>
    <xdr:sp>
      <xdr:nvSpPr>
        <xdr:cNvPr id="1" name="AutoShape 14"/>
        <xdr:cNvSpPr>
          <a:spLocks/>
        </xdr:cNvSpPr>
      </xdr:nvSpPr>
      <xdr:spPr>
        <a:xfrm>
          <a:off x="466725" y="152400"/>
          <a:ext cx="5543550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Автокредит с государственным субсидированием</a:t>
          </a:r>
        </a:p>
      </xdr:txBody>
    </xdr:sp>
    <xdr:clientData/>
  </xdr:twoCellAnchor>
  <xdr:twoCellAnchor editAs="oneCell">
    <xdr:from>
      <xdr:col>10</xdr:col>
      <xdr:colOff>1571625</xdr:colOff>
      <xdr:row>1</xdr:row>
      <xdr:rowOff>76200</xdr:rowOff>
    </xdr:from>
    <xdr:to>
      <xdr:col>13</xdr:col>
      <xdr:colOff>123825</xdr:colOff>
      <xdr:row>4</xdr:row>
      <xdr:rowOff>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rcRect l="42451" t="27070" r="36914" b="58570"/>
        <a:stretch>
          <a:fillRect/>
        </a:stretch>
      </xdr:blipFill>
      <xdr:spPr>
        <a:xfrm>
          <a:off x="11772900" y="180975"/>
          <a:ext cx="10953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1571625</xdr:colOff>
      <xdr:row>1</xdr:row>
      <xdr:rowOff>76200</xdr:rowOff>
    </xdr:from>
    <xdr:to>
      <xdr:col>13</xdr:col>
      <xdr:colOff>123825</xdr:colOff>
      <xdr:row>4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1"/>
        <a:srcRect l="42451" t="27070" r="36914" b="58570"/>
        <a:stretch>
          <a:fillRect/>
        </a:stretch>
      </xdr:blipFill>
      <xdr:spPr>
        <a:xfrm>
          <a:off x="11772900" y="180975"/>
          <a:ext cx="10953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1304925</xdr:colOff>
      <xdr:row>1</xdr:row>
      <xdr:rowOff>38100</xdr:rowOff>
    </xdr:from>
    <xdr:to>
      <xdr:col>15</xdr:col>
      <xdr:colOff>76200</xdr:colOff>
      <xdr:row>4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rcRect l="42451" t="27070" r="36914" b="58570"/>
        <a:stretch>
          <a:fillRect/>
        </a:stretch>
      </xdr:blipFill>
      <xdr:spPr>
        <a:xfrm>
          <a:off x="11839575" y="142875"/>
          <a:ext cx="107632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66675</xdr:colOff>
      <xdr:row>1</xdr:row>
      <xdr:rowOff>76200</xdr:rowOff>
    </xdr:from>
    <xdr:to>
      <xdr:col>5</xdr:col>
      <xdr:colOff>314325</xdr:colOff>
      <xdr:row>3</xdr:row>
      <xdr:rowOff>9525</xdr:rowOff>
    </xdr:to>
    <xdr:sp>
      <xdr:nvSpPr>
        <xdr:cNvPr id="2" name="AutoShape 14"/>
        <xdr:cNvSpPr>
          <a:spLocks/>
        </xdr:cNvSpPr>
      </xdr:nvSpPr>
      <xdr:spPr>
        <a:xfrm>
          <a:off x="476250" y="180975"/>
          <a:ext cx="4019550" cy="2952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Автокредит "АК БАРС-Профи"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1257300</xdr:colOff>
      <xdr:row>1</xdr:row>
      <xdr:rowOff>28575</xdr:rowOff>
    </xdr:from>
    <xdr:to>
      <xdr:col>15</xdr:col>
      <xdr:colOff>85725</xdr:colOff>
      <xdr:row>3</xdr:row>
      <xdr:rowOff>190500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42451" t="27070" r="36914" b="58570"/>
        <a:stretch>
          <a:fillRect/>
        </a:stretch>
      </xdr:blipFill>
      <xdr:spPr>
        <a:xfrm>
          <a:off x="11858625" y="133350"/>
          <a:ext cx="111442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142875</xdr:colOff>
      <xdr:row>1</xdr:row>
      <xdr:rowOff>123825</xdr:rowOff>
    </xdr:from>
    <xdr:to>
      <xdr:col>5</xdr:col>
      <xdr:colOff>533400</xdr:colOff>
      <xdr:row>3</xdr:row>
      <xdr:rowOff>57150</xdr:rowOff>
    </xdr:to>
    <xdr:sp>
      <xdr:nvSpPr>
        <xdr:cNvPr id="2" name="AutoShape 7"/>
        <xdr:cNvSpPr>
          <a:spLocks/>
        </xdr:cNvSpPr>
      </xdr:nvSpPr>
      <xdr:spPr>
        <a:xfrm>
          <a:off x="352425" y="228600"/>
          <a:ext cx="4362450" cy="2952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Автокредит "АК БАРС-Круиз"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4"/>
  </sheetPr>
  <dimension ref="B2:V72"/>
  <sheetViews>
    <sheetView showGridLines="0" zoomScale="82" zoomScaleNormal="82" workbookViewId="0" topLeftCell="A1">
      <pane xSplit="7" ySplit="30" topLeftCell="H31" activePane="bottomRight" state="frozen"/>
      <selection pane="topLeft" activeCell="A1" sqref="A1"/>
      <selection pane="topRight" activeCell="H1" sqref="H1"/>
      <selection pane="bottomLeft" activeCell="A31" sqref="A31"/>
      <selection pane="bottomRight" activeCell="C35" sqref="C35"/>
    </sheetView>
  </sheetViews>
  <sheetFormatPr defaultColWidth="9.00390625" defaultRowHeight="12.75"/>
  <cols>
    <col min="1" max="1" width="2.00390625" style="1" customWidth="1"/>
    <col min="2" max="2" width="2.625" style="1" customWidth="1"/>
    <col min="3" max="3" width="44.75390625" style="1" customWidth="1"/>
    <col min="4" max="4" width="43.00390625" style="1" customWidth="1"/>
    <col min="5" max="5" width="1.75390625" style="1" customWidth="1"/>
    <col min="6" max="6" width="58.75390625" style="1" customWidth="1"/>
    <col min="7" max="7" width="2.625" style="1" customWidth="1"/>
    <col min="8" max="8" width="2.75390625" style="2" customWidth="1"/>
    <col min="9" max="9" width="7.125" style="649" hidden="1" customWidth="1"/>
    <col min="10" max="20" width="11.00390625" style="1" hidden="1" customWidth="1"/>
    <col min="21" max="22" width="11.00390625" style="1" customWidth="1"/>
    <col min="23" max="27" width="6.75390625" style="1" customWidth="1"/>
    <col min="28" max="16384" width="9.125" style="1" customWidth="1"/>
  </cols>
  <sheetData>
    <row r="1" ht="9.75" customHeight="1" thickBot="1"/>
    <row r="2" spans="2:18" ht="11.25" customHeight="1">
      <c r="B2" s="5"/>
      <c r="C2" s="6"/>
      <c r="D2" s="6"/>
      <c r="E2" s="6"/>
      <c r="F2" s="6"/>
      <c r="G2" s="7"/>
      <c r="H2" s="1"/>
      <c r="J2" s="58">
        <v>1</v>
      </c>
      <c r="K2" s="58">
        <v>2</v>
      </c>
      <c r="L2" s="58">
        <v>3</v>
      </c>
      <c r="M2" s="58">
        <v>4</v>
      </c>
      <c r="N2" s="58">
        <v>5</v>
      </c>
      <c r="O2" s="58">
        <v>6</v>
      </c>
      <c r="P2" s="58">
        <v>7</v>
      </c>
      <c r="Q2" s="58">
        <v>8</v>
      </c>
      <c r="R2" s="58">
        <v>9</v>
      </c>
    </row>
    <row r="3" spans="2:18" ht="15" customHeight="1">
      <c r="B3" s="8"/>
      <c r="C3" s="762" t="s">
        <v>9</v>
      </c>
      <c r="D3" s="762"/>
      <c r="E3" s="9"/>
      <c r="F3" s="10"/>
      <c r="G3" s="11"/>
      <c r="H3" s="1"/>
      <c r="J3" s="59" t="s">
        <v>94</v>
      </c>
      <c r="K3" s="60" t="s">
        <v>6</v>
      </c>
      <c r="L3" s="60" t="s">
        <v>8</v>
      </c>
      <c r="M3" s="59">
        <v>1</v>
      </c>
      <c r="N3" s="59">
        <v>5</v>
      </c>
      <c r="O3" s="58" t="s">
        <v>39</v>
      </c>
      <c r="P3" s="58" t="s">
        <v>39</v>
      </c>
      <c r="Q3" s="58" t="s">
        <v>39</v>
      </c>
      <c r="R3" s="58" t="s">
        <v>40</v>
      </c>
    </row>
    <row r="4" spans="2:18" ht="11.25" customHeight="1" thickBot="1">
      <c r="B4" s="8"/>
      <c r="C4" s="12"/>
      <c r="D4" s="12"/>
      <c r="E4" s="12"/>
      <c r="F4" s="29"/>
      <c r="G4" s="11"/>
      <c r="H4" s="1"/>
      <c r="J4" s="59" t="s">
        <v>73</v>
      </c>
      <c r="K4" s="60" t="s">
        <v>7</v>
      </c>
      <c r="L4" s="60" t="s">
        <v>38</v>
      </c>
      <c r="M4" s="59">
        <v>2</v>
      </c>
      <c r="N4" s="59">
        <v>10</v>
      </c>
      <c r="O4" s="58" t="s">
        <v>40</v>
      </c>
      <c r="P4" s="58" t="s">
        <v>138</v>
      </c>
      <c r="Q4" s="58" t="s">
        <v>40</v>
      </c>
      <c r="R4" s="58" t="s">
        <v>39</v>
      </c>
    </row>
    <row r="5" spans="2:16" ht="16.5" customHeight="1" thickBot="1">
      <c r="B5" s="14"/>
      <c r="C5" s="15" t="s">
        <v>3</v>
      </c>
      <c r="D5" s="66">
        <v>1</v>
      </c>
      <c r="E5" s="12"/>
      <c r="F5" s="32" t="s">
        <v>24</v>
      </c>
      <c r="G5" s="11"/>
      <c r="H5" s="1"/>
      <c r="J5" s="59" t="s">
        <v>72</v>
      </c>
      <c r="K5" s="61"/>
      <c r="L5" s="62"/>
      <c r="M5" s="81">
        <v>3</v>
      </c>
      <c r="N5" s="59">
        <v>15</v>
      </c>
      <c r="O5" s="3"/>
      <c r="P5" s="60" t="s">
        <v>139</v>
      </c>
    </row>
    <row r="6" spans="2:15" ht="16.5" customHeight="1" thickBot="1">
      <c r="B6" s="14"/>
      <c r="C6" s="15" t="s">
        <v>4</v>
      </c>
      <c r="D6" s="23">
        <v>1</v>
      </c>
      <c r="E6" s="12"/>
      <c r="F6" s="31"/>
      <c r="G6" s="30"/>
      <c r="H6" s="1"/>
      <c r="J6" s="3"/>
      <c r="K6" s="3"/>
      <c r="L6" s="3"/>
      <c r="M6" s="81">
        <v>4</v>
      </c>
      <c r="N6" s="59">
        <v>20</v>
      </c>
      <c r="O6" s="3"/>
    </row>
    <row r="7" spans="2:15" ht="14.25" customHeight="1">
      <c r="B7" s="14"/>
      <c r="C7" s="12"/>
      <c r="D7" s="12"/>
      <c r="E7" s="12"/>
      <c r="F7" s="33" t="str">
        <f>IF(D5=1,"Категория 'В' (Легковые автомобили):",IF(D5=2,"Категория 'D', 'С' (грузовые, спецтехника, прицепы):","Мототехника, водные виды транспорта:"))</f>
        <v>Категория ''В'' (Легковые автомобили):</v>
      </c>
      <c r="G7" s="30"/>
      <c r="H7" s="1"/>
      <c r="J7" s="3"/>
      <c r="K7" s="3"/>
      <c r="L7" s="3"/>
      <c r="M7" s="81">
        <v>5</v>
      </c>
      <c r="N7" s="59">
        <v>30</v>
      </c>
      <c r="O7" s="3"/>
    </row>
    <row r="8" spans="2:14" ht="15" customHeight="1">
      <c r="B8" s="14"/>
      <c r="C8" s="762" t="s">
        <v>10</v>
      </c>
      <c r="D8" s="762"/>
      <c r="E8" s="9"/>
      <c r="F8" s="34"/>
      <c r="G8" s="30"/>
      <c r="H8" s="1"/>
      <c r="K8" s="3"/>
      <c r="L8" s="3"/>
      <c r="M8" s="81">
        <v>6</v>
      </c>
      <c r="N8" s="82"/>
    </row>
    <row r="9" spans="2:14" ht="15" customHeight="1" thickBot="1">
      <c r="B9" s="14"/>
      <c r="C9" s="763"/>
      <c r="D9" s="763"/>
      <c r="E9" s="16"/>
      <c r="F9" s="761" t="str">
        <f>IF(D5=1,J12,IF(D5=2,J18,J28))</f>
        <v>- Автомобили, разрешенная максимальная масса которых не превышает 3,5 тонн и число сидячих мест, которых, помимо сиденья водителя, не превышает 8 (Категория «В» по классификации Конвенции о дорожном движении)                                                                                                                  </v>
      </c>
      <c r="G9" s="11"/>
      <c r="H9" s="1"/>
      <c r="K9" s="3"/>
      <c r="L9" s="3"/>
      <c r="M9" s="81">
        <v>7</v>
      </c>
      <c r="N9" s="82"/>
    </row>
    <row r="10" spans="2:14" ht="15.75" customHeight="1" thickBot="1">
      <c r="B10" s="14"/>
      <c r="C10" s="15" t="s">
        <v>5</v>
      </c>
      <c r="D10" s="23">
        <v>1</v>
      </c>
      <c r="E10" s="12"/>
      <c r="F10" s="761"/>
      <c r="G10" s="11"/>
      <c r="H10" s="1"/>
      <c r="K10" s="63"/>
      <c r="L10" s="3"/>
      <c r="M10" s="3"/>
      <c r="N10" s="3"/>
    </row>
    <row r="11" spans="2:13" ht="16.5" customHeight="1" thickBot="1">
      <c r="B11" s="14"/>
      <c r="C11" s="17" t="s">
        <v>22</v>
      </c>
      <c r="D11" s="23">
        <v>2</v>
      </c>
      <c r="E11" s="12"/>
      <c r="F11" s="761"/>
      <c r="G11" s="11"/>
      <c r="K11" s="3"/>
      <c r="L11" s="3"/>
      <c r="M11" s="3"/>
    </row>
    <row r="12" spans="2:20" ht="16.5" customHeight="1">
      <c r="B12" s="14"/>
      <c r="C12" s="17" t="s">
        <v>23</v>
      </c>
      <c r="D12" s="24">
        <v>2</v>
      </c>
      <c r="E12" s="12"/>
      <c r="F12" s="761"/>
      <c r="G12" s="11"/>
      <c r="J12" s="760" t="s">
        <v>97</v>
      </c>
      <c r="K12" s="755"/>
      <c r="L12" s="755"/>
      <c r="M12" s="755"/>
      <c r="N12" s="755"/>
      <c r="O12" s="755"/>
      <c r="P12" s="755"/>
      <c r="Q12" s="755"/>
      <c r="R12" s="755"/>
      <c r="S12" s="755"/>
      <c r="T12" s="755"/>
    </row>
    <row r="13" spans="2:20" ht="10.5" customHeight="1">
      <c r="B13" s="14"/>
      <c r="C13" s="17"/>
      <c r="D13" s="12"/>
      <c r="E13" s="12"/>
      <c r="F13" s="761"/>
      <c r="G13" s="11"/>
      <c r="J13" s="756"/>
      <c r="K13" s="755"/>
      <c r="L13" s="755"/>
      <c r="M13" s="755"/>
      <c r="N13" s="755"/>
      <c r="O13" s="755"/>
      <c r="P13" s="755"/>
      <c r="Q13" s="755"/>
      <c r="R13" s="755"/>
      <c r="S13" s="755"/>
      <c r="T13" s="755"/>
    </row>
    <row r="14" spans="2:20" ht="16.5" customHeight="1" thickBot="1">
      <c r="B14" s="14"/>
      <c r="C14" s="17" t="s">
        <v>16</v>
      </c>
      <c r="D14" s="12"/>
      <c r="E14" s="12"/>
      <c r="F14" s="761"/>
      <c r="G14" s="11"/>
      <c r="J14" s="756"/>
      <c r="K14" s="755"/>
      <c r="L14" s="755"/>
      <c r="M14" s="755"/>
      <c r="N14" s="755"/>
      <c r="O14" s="755"/>
      <c r="P14" s="755"/>
      <c r="Q14" s="755"/>
      <c r="R14" s="755"/>
      <c r="S14" s="755"/>
      <c r="T14" s="755"/>
    </row>
    <row r="15" spans="2:20" ht="16.5" customHeight="1" thickBot="1">
      <c r="B15" s="14"/>
      <c r="C15" s="18" t="s">
        <v>12</v>
      </c>
      <c r="D15" s="25">
        <v>1</v>
      </c>
      <c r="E15" s="12"/>
      <c r="F15" s="761"/>
      <c r="G15" s="11"/>
      <c r="J15" s="756"/>
      <c r="K15" s="755"/>
      <c r="L15" s="755"/>
      <c r="M15" s="755"/>
      <c r="N15" s="755"/>
      <c r="O15" s="755"/>
      <c r="P15" s="755"/>
      <c r="Q15" s="755"/>
      <c r="R15" s="755"/>
      <c r="S15" s="755"/>
      <c r="T15" s="755"/>
    </row>
    <row r="16" spans="2:20" ht="16.5" customHeight="1" thickBot="1">
      <c r="B16" s="14"/>
      <c r="C16" s="19" t="s">
        <v>137</v>
      </c>
      <c r="D16" s="247">
        <v>1</v>
      </c>
      <c r="E16" s="12"/>
      <c r="F16" s="761"/>
      <c r="G16" s="11"/>
      <c r="J16" s="756"/>
      <c r="K16" s="755"/>
      <c r="L16" s="755"/>
      <c r="M16" s="755"/>
      <c r="N16" s="755"/>
      <c r="O16" s="755"/>
      <c r="P16" s="755"/>
      <c r="Q16" s="755"/>
      <c r="R16" s="755"/>
      <c r="S16" s="755"/>
      <c r="T16" s="755"/>
    </row>
    <row r="17" spans="2:13" ht="9.75" customHeight="1">
      <c r="B17" s="14"/>
      <c r="C17" s="12"/>
      <c r="D17" s="24"/>
      <c r="E17" s="12"/>
      <c r="F17" s="35"/>
      <c r="G17" s="11"/>
      <c r="J17" s="3"/>
      <c r="K17" s="3"/>
      <c r="L17" s="3"/>
      <c r="M17" s="3"/>
    </row>
    <row r="18" spans="2:20" ht="9.75" customHeight="1" thickBot="1">
      <c r="B18" s="14"/>
      <c r="C18" s="12"/>
      <c r="D18" s="12"/>
      <c r="E18" s="12"/>
      <c r="F18" s="13"/>
      <c r="G18" s="11"/>
      <c r="J18" s="760" t="s">
        <v>25</v>
      </c>
      <c r="K18" s="755"/>
      <c r="L18" s="755"/>
      <c r="M18" s="755"/>
      <c r="N18" s="755"/>
      <c r="O18" s="755"/>
      <c r="P18" s="755"/>
      <c r="Q18" s="755"/>
      <c r="R18" s="755"/>
      <c r="S18" s="755"/>
      <c r="T18" s="755"/>
    </row>
    <row r="19" spans="2:20" ht="17.25" customHeight="1" thickBot="1">
      <c r="B19" s="14"/>
      <c r="C19" s="17" t="s">
        <v>70</v>
      </c>
      <c r="D19" s="23">
        <v>1</v>
      </c>
      <c r="E19" s="12"/>
      <c r="F19" s="13"/>
      <c r="G19" s="11"/>
      <c r="J19" s="756"/>
      <c r="K19" s="755"/>
      <c r="L19" s="755"/>
      <c r="M19" s="755"/>
      <c r="N19" s="755"/>
      <c r="O19" s="755"/>
      <c r="P19" s="755"/>
      <c r="Q19" s="755"/>
      <c r="R19" s="755"/>
      <c r="S19" s="755"/>
      <c r="T19" s="755"/>
    </row>
    <row r="20" spans="2:20" ht="6" customHeight="1">
      <c r="B20" s="14"/>
      <c r="C20" s="17"/>
      <c r="D20" s="12"/>
      <c r="E20" s="12"/>
      <c r="F20" s="13"/>
      <c r="G20" s="11"/>
      <c r="J20" s="756"/>
      <c r="K20" s="755"/>
      <c r="L20" s="755"/>
      <c r="M20" s="755"/>
      <c r="N20" s="755"/>
      <c r="O20" s="755"/>
      <c r="P20" s="755"/>
      <c r="Q20" s="755"/>
      <c r="R20" s="755"/>
      <c r="S20" s="755"/>
      <c r="T20" s="755"/>
    </row>
    <row r="21" spans="2:20" ht="18.75" customHeight="1">
      <c r="B21" s="8"/>
      <c r="C21" s="764" t="s">
        <v>71</v>
      </c>
      <c r="D21" s="764"/>
      <c r="E21" s="764"/>
      <c r="F21" s="764"/>
      <c r="G21" s="11"/>
      <c r="J21" s="756"/>
      <c r="K21" s="755"/>
      <c r="L21" s="755"/>
      <c r="M21" s="755"/>
      <c r="N21" s="755"/>
      <c r="O21" s="755"/>
      <c r="P21" s="755"/>
      <c r="Q21" s="755"/>
      <c r="R21" s="755"/>
      <c r="S21" s="755"/>
      <c r="T21" s="755"/>
    </row>
    <row r="22" spans="2:20" ht="7.5" customHeight="1">
      <c r="B22" s="8"/>
      <c r="C22" s="12"/>
      <c r="D22" s="12"/>
      <c r="E22" s="12"/>
      <c r="F22" s="12"/>
      <c r="G22" s="11"/>
      <c r="J22" s="756"/>
      <c r="K22" s="755"/>
      <c r="L22" s="755"/>
      <c r="M22" s="755"/>
      <c r="N22" s="755"/>
      <c r="O22" s="755"/>
      <c r="P22" s="755"/>
      <c r="Q22" s="755"/>
      <c r="R22" s="755"/>
      <c r="S22" s="755"/>
      <c r="T22" s="755"/>
    </row>
    <row r="23" spans="2:20" ht="21.75" customHeight="1">
      <c r="B23" s="8"/>
      <c r="C23" s="69" t="s">
        <v>0</v>
      </c>
      <c r="D23" s="70" t="s">
        <v>1</v>
      </c>
      <c r="E23" s="766" t="s">
        <v>2</v>
      </c>
      <c r="F23" s="767"/>
      <c r="G23" s="11"/>
      <c r="J23" s="756"/>
      <c r="K23" s="755"/>
      <c r="L23" s="755"/>
      <c r="M23" s="755"/>
      <c r="N23" s="755"/>
      <c r="O23" s="755"/>
      <c r="P23" s="755"/>
      <c r="Q23" s="755"/>
      <c r="R23" s="755"/>
      <c r="S23" s="755"/>
      <c r="T23" s="755"/>
    </row>
    <row r="24" spans="2:20" ht="18" customHeight="1">
      <c r="B24" s="8"/>
      <c r="C24" s="67" t="s">
        <v>13</v>
      </c>
      <c r="D24" s="530" t="str">
        <f>IF(D5=1,IF(D6=1,IF(D12&gt;1,IF(D16&lt;3,"Да","Нет"),"Нет"),J34),"Нет")</f>
        <v>Да</v>
      </c>
      <c r="E24" s="768">
        <f>IF(D5=1,IF(D6=1,IF(D11&lt;6,IF(D12&gt;=2,IF(D16&lt;3,"","Страх.взнос за весь срок в сумму кредита не включается"),"Минимальный размер первоначального взноса - 15%"),"При стоимости автомобиля 1 000 000 руб./ 30 000$/ 27 000 евро и выше"),K34),"Кредит предоставляется только на легковые автомобили")</f>
      </c>
      <c r="F24" s="769"/>
      <c r="G24" s="11"/>
      <c r="H24" s="1"/>
      <c r="J24" s="756"/>
      <c r="K24" s="755"/>
      <c r="L24" s="755"/>
      <c r="M24" s="755"/>
      <c r="N24" s="755"/>
      <c r="O24" s="755"/>
      <c r="P24" s="755"/>
      <c r="Q24" s="755"/>
      <c r="R24" s="755"/>
      <c r="S24" s="755"/>
      <c r="T24" s="755"/>
    </row>
    <row r="25" spans="2:20" ht="18" customHeight="1">
      <c r="B25" s="8"/>
      <c r="C25" s="67" t="s">
        <v>142</v>
      </c>
      <c r="D25" s="530" t="str">
        <f>IF(D5=1,IF(D6=1,IF(D19=1,"Да","Нет"),J35),"Нет")</f>
        <v>Да</v>
      </c>
      <c r="E25" s="768">
        <f>IF(D5=1,IF(D6=1,IF(D19=1,"","Подтверждение дохода обязательно"),K35),"Кредит предоставляется только на легковые автомобили")</f>
      </c>
      <c r="F25" s="769"/>
      <c r="G25" s="11"/>
      <c r="H25" s="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</row>
    <row r="26" spans="2:20" ht="18" customHeight="1">
      <c r="B26" s="8"/>
      <c r="C26" s="67" t="s">
        <v>161</v>
      </c>
      <c r="D26" s="530" t="str">
        <f>IF(D5=1,J36,IF(D5=2,J37,"Нет"))</f>
        <v>Да</v>
      </c>
      <c r="E26" s="768">
        <f>IF(D5=1,L36,IF(D5=2,L37,"Кредит предоставляется только на легковые и грузовые автомобили"))</f>
      </c>
      <c r="F26" s="769"/>
      <c r="G26" s="11"/>
      <c r="H26" s="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</row>
    <row r="27" spans="2:8" ht="18" customHeight="1">
      <c r="B27" s="8"/>
      <c r="C27" s="67" t="s">
        <v>14</v>
      </c>
      <c r="D27" s="530" t="str">
        <f>IF(D5=2,IF(D6=1,IF(D11&lt;6,IF(D12&gt;=3,IF(D16&lt;3,IF(D19=1,"Да","Нет"),"Нет"),"Нет"),"Нет"),J38),"Нет")</f>
        <v>Нет</v>
      </c>
      <c r="E27" s="768" t="str">
        <f>IF(D5=2,IF(D6=1,IF(D11&lt;6,IF(D12&gt;=3,IF(D16&lt;3,IF(D19=1,"","Подтверждение дохода обязательно"),"Страх.взнос за весь срок в сумму кредита не включается"),"Минимальный размер первоначального взноса - 20%"),"Максимальный срок кредита - 5 лет"),K38),"Кредит предоставляется только на грузовые автомобили")</f>
        <v>Кредит предоставляется только на грузовые автомобили</v>
      </c>
      <c r="F27" s="769"/>
      <c r="G27" s="11"/>
      <c r="H27" s="1"/>
    </row>
    <row r="28" spans="2:20" ht="18" customHeight="1">
      <c r="B28" s="8"/>
      <c r="C28" s="68" t="s">
        <v>15</v>
      </c>
      <c r="D28" s="531" t="str">
        <f>IF(D5=3,IF(D6=1,IF(D11&lt;6,IF(D12&gt;=3,IF(D15=1,IF(D16=1,IF(D19=1,"Да","Нет"),"Нет"),"Нет"),"Нет"),"Нет"),J39),"Нет")</f>
        <v>Нет</v>
      </c>
      <c r="E28" s="757" t="str">
        <f>IF(D5=3,IF(D6=1,IF(D11&lt;6,IF(D12&gt;=3,IF(D15=1,IF(D16=1,IF(D19=1,"","Подтверждение дохода обязательно"),"Страх.взнос за весь срок в сумму кредита не включается"),"Стоимость доп.оборудования в сумму кредита не включается"),"Минимальный размер первоначального взноса - 20%"),"Максимальный срок кредита - 5 лет"),K39),"Кредит предоставляется только на мототехнику и водный вид ТС")</f>
        <v>Кредит предоставляется только на мототехнику и водный вид ТС</v>
      </c>
      <c r="F28" s="765"/>
      <c r="G28" s="11"/>
      <c r="H28" s="1"/>
      <c r="J28" s="758" t="s">
        <v>78</v>
      </c>
      <c r="K28" s="759"/>
      <c r="L28" s="759"/>
      <c r="M28" s="759"/>
      <c r="N28" s="759"/>
      <c r="O28" s="759"/>
      <c r="P28" s="759"/>
      <c r="Q28" s="759"/>
      <c r="R28" s="759"/>
      <c r="S28" s="759"/>
      <c r="T28" s="759"/>
    </row>
    <row r="29" spans="2:20" ht="14.25" customHeight="1">
      <c r="B29" s="8"/>
      <c r="C29" s="535" t="s">
        <v>141</v>
      </c>
      <c r="D29" s="12"/>
      <c r="E29" s="12"/>
      <c r="F29" s="12"/>
      <c r="G29" s="11"/>
      <c r="H29" s="1"/>
      <c r="J29" s="758"/>
      <c r="K29" s="759"/>
      <c r="L29" s="759"/>
      <c r="M29" s="759"/>
      <c r="N29" s="759"/>
      <c r="O29" s="759"/>
      <c r="P29" s="759"/>
      <c r="Q29" s="759"/>
      <c r="R29" s="759"/>
      <c r="S29" s="759"/>
      <c r="T29" s="759"/>
    </row>
    <row r="30" spans="2:20" ht="14.25" customHeight="1" thickBot="1">
      <c r="B30" s="20"/>
      <c r="C30" s="651" t="s">
        <v>162</v>
      </c>
      <c r="D30" s="21"/>
      <c r="E30" s="21"/>
      <c r="F30" s="21"/>
      <c r="G30" s="22"/>
      <c r="J30" s="758"/>
      <c r="K30" s="759"/>
      <c r="L30" s="759"/>
      <c r="M30" s="759"/>
      <c r="N30" s="759"/>
      <c r="O30" s="759"/>
      <c r="P30" s="759"/>
      <c r="Q30" s="759"/>
      <c r="R30" s="759"/>
      <c r="S30" s="759"/>
      <c r="T30" s="759"/>
    </row>
    <row r="31" spans="10:20" ht="12" customHeight="1">
      <c r="J31" s="758"/>
      <c r="K31" s="759"/>
      <c r="L31" s="759"/>
      <c r="M31" s="759"/>
      <c r="N31" s="759"/>
      <c r="O31" s="759"/>
      <c r="P31" s="759"/>
      <c r="Q31" s="759"/>
      <c r="R31" s="759"/>
      <c r="S31" s="759"/>
      <c r="T31" s="759"/>
    </row>
    <row r="32" spans="10:20" ht="11.25" customHeight="1">
      <c r="J32" s="758"/>
      <c r="K32" s="759"/>
      <c r="L32" s="759"/>
      <c r="M32" s="759"/>
      <c r="N32" s="759"/>
      <c r="O32" s="759"/>
      <c r="P32" s="759"/>
      <c r="Q32" s="759"/>
      <c r="R32" s="759"/>
      <c r="S32" s="759"/>
      <c r="T32" s="759"/>
    </row>
    <row r="33" spans="10:20" ht="3.75" customHeight="1">
      <c r="J33" s="64"/>
      <c r="K33" s="65"/>
      <c r="L33" s="65"/>
      <c r="M33" s="65"/>
      <c r="N33" s="65"/>
      <c r="O33" s="65"/>
      <c r="P33" s="65"/>
      <c r="Q33" s="65"/>
      <c r="R33" s="65"/>
      <c r="S33" s="65"/>
      <c r="T33" s="65"/>
    </row>
    <row r="34" spans="9:20" ht="12.75">
      <c r="I34" s="650" t="s">
        <v>157</v>
      </c>
      <c r="J34" s="527" t="str">
        <f>IF(D11&gt;=4,"Нет",IF(D12&lt;4,"Нет",IF(D16&gt;2,"Нет",IF(D19=2,"Нет","Да"))))</f>
        <v>Нет</v>
      </c>
      <c r="K34" s="527" t="str">
        <f>IF(D11&gt;=4,"Максимальный срок кредитования подержанных автомобилей - 3 года",IF(D12&lt;4,"Минимальный размер первоначального взноса - 30%",IF(D16&gt;2,"Страх.взнос за весь срок в сумму кредита не включается",IF(D19=2,"Подтверждение дохода обязательно",""))))</f>
        <v>Минимальный размер первоначального взноса - 30%</v>
      </c>
      <c r="L34" s="65"/>
      <c r="M34" s="65"/>
      <c r="N34" s="65"/>
      <c r="O34" s="65"/>
      <c r="P34" s="65"/>
      <c r="Q34" s="65"/>
      <c r="R34" s="65"/>
      <c r="S34" s="65"/>
      <c r="T34" s="65"/>
    </row>
    <row r="35" spans="9:11" ht="12.75">
      <c r="I35" s="649" t="s">
        <v>160</v>
      </c>
      <c r="J35" s="528" t="str">
        <f>IF(D11&lt;4,IF(D12&gt;2,IF(D19=1,"Да","Нет"),"Нет"),"Нет")</f>
        <v>Нет</v>
      </c>
      <c r="K35" s="528" t="str">
        <f>IF(D11&lt;4,IF(D12&gt;2,IF(D19=1,"","Подтверждение дохода обязательно"),"Минимальный первоначальный взнос - 20%"),"Максимальный срок кредитования подержанных автомобилей - 3 года")</f>
        <v>Минимальный первоначальный взнос - 20%</v>
      </c>
    </row>
    <row r="36" spans="9:13" ht="12.75">
      <c r="I36" s="649" t="s">
        <v>163</v>
      </c>
      <c r="J36" s="652" t="str">
        <f>IF(D6=1,IF(D11&lt;6,IF(D12&gt;1,IF(D16&lt;3,IF(D19=1,"Да","Нет"),"Нет"),"Нет"),"Нет"),K36)</f>
        <v>Да</v>
      </c>
      <c r="K36" s="653" t="str">
        <f>IF(D11&lt;4,IF(D12&gt;4,IF(D16&lt;3,IF(D19=1,"Да","Нет"),"Нет"),"Нет"),"Нет")</f>
        <v>Нет</v>
      </c>
      <c r="L36" s="652">
        <f>IF(D6=1,IF(D11&lt;6,IF(D12&gt;1,IF(D16&lt;3,IF(D19=1,"","Подтверждение дохода обязательно"),"Страх.взнос за весь срок в сумму кредита не включается"),"Минимальный размер первоначального взноса - 10%"),"Максимальный срок кредита - 5 лет"),M36)</f>
      </c>
      <c r="M36" s="653" t="str">
        <f>IF(D11&lt;4,IF(D12&gt;4,IF(D16&lt;3,IF(D19=1,"","Подтверждение дохода обязательно"),"Страх.взнос за весь срок в сумму кредита не включается"),"Минимальный размер первоначального взноса - 30%"),"Максимальный срок кредитования подержанных ТС - 3 года")</f>
        <v>Минимальный размер первоначального взноса - 30%</v>
      </c>
    </row>
    <row r="37" spans="9:13" ht="12.75">
      <c r="I37" s="649" t="s">
        <v>164</v>
      </c>
      <c r="J37" s="1" t="str">
        <f>IF(D6=1,IF(D11&lt;6,IF(D12&gt;3,IF(D16&lt;3,IF(D19=1,"Да","Нет"),"Нет"),"Нет"),"Нет"),K37)</f>
        <v>Нет</v>
      </c>
      <c r="K37" s="1" t="str">
        <f>IF(D11&lt;4,IF(D12&gt;4,IF(D16&lt;3,IF(D19=1,"Да","Нет"),"Нет"),"Нет"),"Нет")</f>
        <v>Нет</v>
      </c>
      <c r="L37" s="1" t="str">
        <f>IF(D6=1,IF(D11&lt;6,IF(D12&gt;3,IF(D16&lt;3,IF(D19=1,"","Подтверждение дохода обязательно"),"Страх.взнос за весь срок в сумму кредита не включается"),"Минимальный размер первоначального взноса - 20%"),"Максимальный срок кредита - 5лет"),M37)</f>
        <v>Минимальный размер первоначального взноса - 20%</v>
      </c>
      <c r="M37" s="1" t="str">
        <f>IF(D11&lt;4,IF(D12&gt;4,IF(D16&lt;3,IF(D19=1,"","Подтверждение дохода обязательно"),"Страх.взнос за весь срок в сумму кредита не включается"),"Минимальный размер первоначального взноса - 30%"),"Максимальный срок кредитования подержанных ТС - 3 года")</f>
        <v>Минимальный размер первоначального взноса - 30%</v>
      </c>
    </row>
    <row r="38" spans="9:11" ht="12.75">
      <c r="I38" s="649" t="s">
        <v>158</v>
      </c>
      <c r="J38" s="528" t="str">
        <f>IF(D11&lt;4,IF(D12=4,IF(D16&lt;3,IF(D19=1,"Да","Нет"),"Нет"),"Нет"),"Нет")</f>
        <v>Нет</v>
      </c>
      <c r="K38" s="528" t="str">
        <f>IF(D11&lt;4,IF(D12=4,IF(D16&lt;3,IF(D19=1,"","Подтверждение дохода обязательно"),"Сумма страх.взноса в сумму кредита не включается"),"Минимальный размер первоначального взноса - 30%"),"Максимальный срок кредитования подержанных ТС - 3 года")</f>
        <v>Минимальный размер первоначального взноса - 30%</v>
      </c>
    </row>
    <row r="39" spans="9:11" ht="12.75">
      <c r="I39" s="649" t="s">
        <v>159</v>
      </c>
      <c r="J39" s="528" t="str">
        <f>IF(D11&lt;4,IF(D12=4,IF(D15=1,IF(D16=1,IF(D19=1,"Да","Нет"),"Нет"),"Нет"),"Нет"),"Нет")</f>
        <v>Нет</v>
      </c>
      <c r="K39" s="528" t="str">
        <f>IF(D11&lt;4,IF(D12=4,IF(D15=1,IF(D16=1,IF(D19=1,"","Подтверждение дохода обязательно"),"Сумма страх.взноса в сумму кредита не включается"),"Стоимость доп.оборудования в сумму кредита не включается"),"Минимальный размер первоначального взноса - 30%"),"Максимальный срок кредитования подержанных ТС - 3 года")</f>
        <v>Минимальный размер первоначального взноса - 30%</v>
      </c>
    </row>
    <row r="72" ht="12.75">
      <c r="V72" s="4"/>
    </row>
  </sheetData>
  <sheetProtection password="CE1C" sheet="1" objects="1" scenarios="1"/>
  <mergeCells count="14">
    <mergeCell ref="J28:T32"/>
    <mergeCell ref="J12:T16"/>
    <mergeCell ref="J18:T24"/>
    <mergeCell ref="E28:F28"/>
    <mergeCell ref="E23:F23"/>
    <mergeCell ref="E24:F24"/>
    <mergeCell ref="E27:F27"/>
    <mergeCell ref="E26:F26"/>
    <mergeCell ref="E25:F25"/>
    <mergeCell ref="C3:D3"/>
    <mergeCell ref="C9:D9"/>
    <mergeCell ref="C8:D8"/>
    <mergeCell ref="C21:F21"/>
    <mergeCell ref="F9:F16"/>
  </mergeCells>
  <printOptions/>
  <pageMargins left="0.81" right="0.72" top="1" bottom="1" header="0.5" footer="0.5"/>
  <pageSetup horizontalDpi="600" verticalDpi="600" orientation="landscape" paperSize="9" scale="80" r:id="rId3"/>
  <colBreaks count="1" manualBreakCount="1">
    <brk id="8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57"/>
  </sheetPr>
  <dimension ref="B1:X48"/>
  <sheetViews>
    <sheetView showGridLines="0" zoomScale="71" zoomScaleNormal="71" workbookViewId="0" topLeftCell="A1">
      <pane xSplit="16" ySplit="35" topLeftCell="Q36" activePane="bottomRight" state="frozen"/>
      <selection pane="topLeft" activeCell="A1" sqref="A1"/>
      <selection pane="topRight" activeCell="Q1" sqref="Q1"/>
      <selection pane="bottomLeft" activeCell="A36" sqref="A36"/>
      <selection pane="bottomRight" activeCell="M8" sqref="M8"/>
    </sheetView>
  </sheetViews>
  <sheetFormatPr defaultColWidth="9.75390625" defaultRowHeight="12.75"/>
  <cols>
    <col min="1" max="1" width="2.75390625" style="80" customWidth="1"/>
    <col min="2" max="2" width="2.625" style="80" customWidth="1"/>
    <col min="3" max="3" width="2.75390625" style="80" customWidth="1"/>
    <col min="4" max="4" width="37.25390625" style="80" customWidth="1"/>
    <col min="5" max="5" width="9.625" style="80" customWidth="1"/>
    <col min="6" max="6" width="21.75390625" style="80" customWidth="1"/>
    <col min="7" max="7" width="5.25390625" style="80" customWidth="1"/>
    <col min="8" max="9" width="2.75390625" style="80" customWidth="1"/>
    <col min="10" max="10" width="2.625" style="80" customWidth="1"/>
    <col min="11" max="11" width="37.875" style="80" customWidth="1"/>
    <col min="12" max="12" width="9.625" style="80" customWidth="1"/>
    <col min="13" max="13" width="22.125" style="80" customWidth="1"/>
    <col min="14" max="14" width="5.125" style="80" customWidth="1"/>
    <col min="15" max="16" width="2.75390625" style="80" customWidth="1"/>
    <col min="17" max="17" width="1.75390625" style="109" customWidth="1"/>
    <col min="18" max="18" width="11.625" style="109" hidden="1" customWidth="1"/>
    <col min="19" max="25" width="11.625" style="80" hidden="1" customWidth="1"/>
    <col min="26" max="26" width="11.625" style="80" customWidth="1"/>
    <col min="27" max="27" width="10.375" style="80" customWidth="1"/>
    <col min="28" max="30" width="8.375" style="80" customWidth="1"/>
    <col min="31" max="16384" width="9.75390625" style="80" customWidth="1"/>
  </cols>
  <sheetData>
    <row r="1" spans="18:24" ht="8.25" customHeight="1" thickBot="1">
      <c r="R1" s="110">
        <v>1</v>
      </c>
      <c r="S1" s="110">
        <v>2</v>
      </c>
      <c r="T1" s="110">
        <v>3</v>
      </c>
      <c r="U1" s="110">
        <v>4</v>
      </c>
      <c r="V1" s="110">
        <v>5</v>
      </c>
      <c r="W1" s="110">
        <v>6</v>
      </c>
      <c r="X1" s="110"/>
    </row>
    <row r="2" spans="2:24" ht="10.5" customHeight="1">
      <c r="B2" s="111"/>
      <c r="C2" s="1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112"/>
      <c r="P2" s="113"/>
      <c r="Q2" s="80"/>
      <c r="R2" s="27" t="s">
        <v>41</v>
      </c>
      <c r="S2" s="27" t="s">
        <v>39</v>
      </c>
      <c r="T2" s="27" t="s">
        <v>8</v>
      </c>
      <c r="U2" s="27"/>
      <c r="V2" s="27" t="s">
        <v>40</v>
      </c>
      <c r="W2" s="27"/>
      <c r="X2" s="459" t="s">
        <v>74</v>
      </c>
    </row>
    <row r="3" spans="2:24" ht="18" customHeight="1">
      <c r="B3" s="114"/>
      <c r="C3" s="90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90"/>
      <c r="P3" s="115"/>
      <c r="Q3" s="80"/>
      <c r="R3" s="27" t="s">
        <v>42</v>
      </c>
      <c r="S3" s="27" t="s">
        <v>40</v>
      </c>
      <c r="T3" s="27" t="s">
        <v>37</v>
      </c>
      <c r="U3" s="27"/>
      <c r="V3" s="27" t="s">
        <v>39</v>
      </c>
      <c r="W3" s="27"/>
      <c r="X3" s="459" t="s">
        <v>75</v>
      </c>
    </row>
    <row r="4" spans="2:21" ht="18" customHeight="1" thickBot="1">
      <c r="B4" s="114"/>
      <c r="C4" s="134"/>
      <c r="D4" s="783" t="s">
        <v>88</v>
      </c>
      <c r="E4" s="783"/>
      <c r="F4" s="783"/>
      <c r="G4" s="783"/>
      <c r="H4" s="783"/>
      <c r="I4" s="783"/>
      <c r="J4" s="783"/>
      <c r="K4" s="783"/>
      <c r="L4" s="299"/>
      <c r="M4" s="134"/>
      <c r="N4" s="116"/>
      <c r="O4" s="90"/>
      <c r="P4" s="115"/>
      <c r="Q4" s="80"/>
      <c r="R4" s="80"/>
      <c r="T4" s="27" t="s">
        <v>58</v>
      </c>
      <c r="U4" s="27"/>
    </row>
    <row r="5" spans="2:21" ht="21" customHeight="1">
      <c r="B5" s="114"/>
      <c r="C5" s="787" t="s">
        <v>57</v>
      </c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9"/>
      <c r="P5" s="115"/>
      <c r="Q5" s="80"/>
      <c r="R5" s="483" t="s">
        <v>119</v>
      </c>
      <c r="U5" s="27"/>
    </row>
    <row r="6" spans="2:24" ht="18" customHeight="1" thickBot="1">
      <c r="B6" s="114"/>
      <c r="C6" s="114"/>
      <c r="D6" s="89" t="s">
        <v>4</v>
      </c>
      <c r="E6" s="90"/>
      <c r="F6" s="28">
        <v>2</v>
      </c>
      <c r="G6" s="90"/>
      <c r="H6" s="100"/>
      <c r="I6" s="100"/>
      <c r="J6" s="100"/>
      <c r="K6" s="99" t="s">
        <v>5</v>
      </c>
      <c r="L6" s="100"/>
      <c r="M6" s="101">
        <v>1</v>
      </c>
      <c r="N6" s="90"/>
      <c r="O6" s="90"/>
      <c r="P6" s="294"/>
      <c r="Q6" s="80"/>
      <c r="R6" s="458" t="s">
        <v>76</v>
      </c>
      <c r="S6" s="458"/>
      <c r="T6" s="458"/>
      <c r="U6" s="459"/>
      <c r="V6" s="458" t="s">
        <v>77</v>
      </c>
      <c r="W6" s="458"/>
      <c r="X6" s="458"/>
    </row>
    <row r="7" spans="2:24" ht="18" customHeight="1" thickBot="1">
      <c r="B7" s="114"/>
      <c r="C7" s="114"/>
      <c r="D7" s="71"/>
      <c r="E7" s="71"/>
      <c r="F7" s="71"/>
      <c r="G7" s="100"/>
      <c r="H7" s="100"/>
      <c r="I7" s="100"/>
      <c r="J7" s="90"/>
      <c r="K7" s="99" t="s">
        <v>85</v>
      </c>
      <c r="L7" s="100"/>
      <c r="M7" s="250">
        <v>36</v>
      </c>
      <c r="N7" s="92" t="s">
        <v>81</v>
      </c>
      <c r="O7" s="90"/>
      <c r="P7" s="294"/>
      <c r="Q7" s="80"/>
      <c r="R7" s="460" t="s">
        <v>46</v>
      </c>
      <c r="S7" s="461"/>
      <c r="T7" s="461"/>
      <c r="U7" s="459"/>
      <c r="V7" s="460" t="s">
        <v>46</v>
      </c>
      <c r="W7" s="461">
        <f>IF(E12=2,IF(M6=1,W10,IF(M7=24,W11,W12)),0)</f>
        <v>0</v>
      </c>
      <c r="X7" s="461"/>
    </row>
    <row r="8" spans="2:24" ht="18" customHeight="1" thickBot="1">
      <c r="B8" s="294"/>
      <c r="C8" s="90"/>
      <c r="D8" s="87" t="s">
        <v>19</v>
      </c>
      <c r="E8" s="90"/>
      <c r="F8" s="91">
        <f>SUM(F9:F11)</f>
        <v>780000</v>
      </c>
      <c r="G8" s="92" t="str">
        <f>IF($M$6=1,"руб.",IF($M$6=2,"$","евро"))</f>
        <v>руб.</v>
      </c>
      <c r="H8" s="90"/>
      <c r="I8" s="90"/>
      <c r="J8" s="90"/>
      <c r="K8" s="87" t="s">
        <v>20</v>
      </c>
      <c r="L8" s="87"/>
      <c r="M8" s="100"/>
      <c r="N8" s="100"/>
      <c r="O8" s="115"/>
      <c r="P8" s="115"/>
      <c r="Q8" s="80"/>
      <c r="R8" s="462" t="s">
        <v>47</v>
      </c>
      <c r="S8" s="463" t="e">
        <f>(F9+F10+F11-M10)/0.97*'Условия программ'!#REF!</f>
        <v>#REF!</v>
      </c>
      <c r="T8" s="464"/>
      <c r="U8" s="459"/>
      <c r="V8" s="462" t="s">
        <v>47</v>
      </c>
      <c r="W8" s="463" t="e">
        <f>(F9+F10+F11-M10)/0.95*'Условия программ'!#REF!</f>
        <v>#REF!</v>
      </c>
      <c r="X8" s="464"/>
    </row>
    <row r="9" spans="2:24" ht="18" customHeight="1" thickBot="1">
      <c r="B9" s="114"/>
      <c r="C9" s="295"/>
      <c r="D9" s="93" t="s">
        <v>11</v>
      </c>
      <c r="E9" s="90"/>
      <c r="F9" s="94">
        <v>780000</v>
      </c>
      <c r="G9" s="92" t="str">
        <f>IF($M$6=1,"руб.",IF($M$6=2,"$","евро"))</f>
        <v>руб.</v>
      </c>
      <c r="H9" s="90"/>
      <c r="I9" s="90"/>
      <c r="J9" s="293"/>
      <c r="K9" s="102" t="s">
        <v>17</v>
      </c>
      <c r="L9" s="103">
        <f>IF($F$6=1,IF($M$7&lt;=60,IF($L$10&gt;='Условия программ'!$G$5,'Условия программ'!$G$5,'Условия программ'!$E$5),'Условия программ'!$G$5),'Условия программ'!$J$6)</f>
        <v>0.3</v>
      </c>
      <c r="M9" s="97">
        <f>F8*L9</f>
        <v>234000</v>
      </c>
      <c r="N9" s="92" t="str">
        <f>IF($M$6=1,"руб.",IF($M$6=2,"$","евро"))</f>
        <v>руб.</v>
      </c>
      <c r="O9" s="293"/>
      <c r="P9" s="294"/>
      <c r="Q9" s="80"/>
      <c r="R9" s="462"/>
      <c r="S9" s="463"/>
      <c r="T9" s="464"/>
      <c r="U9" s="465"/>
      <c r="V9" s="462"/>
      <c r="W9" s="463"/>
      <c r="X9" s="464"/>
    </row>
    <row r="10" spans="2:24" ht="18" customHeight="1" thickBot="1">
      <c r="B10" s="294"/>
      <c r="C10" s="90"/>
      <c r="D10" s="95" t="s">
        <v>56</v>
      </c>
      <c r="E10" s="96">
        <f>F10/F9</f>
        <v>0</v>
      </c>
      <c r="F10" s="94">
        <v>0</v>
      </c>
      <c r="G10" s="92" t="str">
        <f>IF($M$6=1,"руб.",IF($M$6=2,"$","евро"))</f>
        <v>руб.</v>
      </c>
      <c r="H10" s="90"/>
      <c r="I10" s="90"/>
      <c r="J10" s="293"/>
      <c r="K10" s="104" t="s">
        <v>18</v>
      </c>
      <c r="L10" s="105">
        <f>ROUND(M10/F8,4)</f>
        <v>0.641</v>
      </c>
      <c r="M10" s="184">
        <v>500000</v>
      </c>
      <c r="N10" s="92" t="str">
        <f>IF($M$6=1,"руб.",IF($M$6=2,"$","евро"))</f>
        <v>руб.</v>
      </c>
      <c r="O10" s="293"/>
      <c r="P10" s="294"/>
      <c r="Q10" s="80"/>
      <c r="R10" s="462" t="s">
        <v>45</v>
      </c>
      <c r="S10" s="466" t="e">
        <f>IF(S8&lt;='Условия программ'!#REF!,'Условия программ'!#REF!,S8)</f>
        <v>#REF!</v>
      </c>
      <c r="T10" s="464" t="s">
        <v>48</v>
      </c>
      <c r="U10" s="458"/>
      <c r="V10" s="462" t="s">
        <v>45</v>
      </c>
      <c r="W10" s="466" t="e">
        <f>IF(W8&lt;='Условия программ'!#REF!,'Условия программ'!#REF!,W8)</f>
        <v>#REF!</v>
      </c>
      <c r="X10" s="464" t="s">
        <v>48</v>
      </c>
    </row>
    <row r="11" spans="2:24" ht="18" customHeight="1" thickBot="1">
      <c r="B11" s="114"/>
      <c r="C11" s="295"/>
      <c r="D11" s="98" t="s">
        <v>83</v>
      </c>
      <c r="E11" s="243">
        <v>0</v>
      </c>
      <c r="F11" s="244">
        <f>ROUNDUP((F9+F10)*E11,0)</f>
        <v>0</v>
      </c>
      <c r="G11" s="245" t="str">
        <f>IF($M$6=1,"руб.",IF($M$6=2,"$","евро"))</f>
        <v>руб.</v>
      </c>
      <c r="H11" s="90"/>
      <c r="I11" s="90"/>
      <c r="J11" s="293"/>
      <c r="K11" s="770" t="s">
        <v>70</v>
      </c>
      <c r="L11" s="770"/>
      <c r="M11" s="107">
        <v>1</v>
      </c>
      <c r="N11" s="106"/>
      <c r="O11" s="293"/>
      <c r="P11" s="294"/>
      <c r="Q11" s="80"/>
      <c r="R11" s="462" t="s">
        <v>45</v>
      </c>
      <c r="S11" s="465" t="e">
        <f>IF(S8&lt;='Условия программ'!#REF!,'Условия программ'!#REF!,S8)</f>
        <v>#REF!</v>
      </c>
      <c r="T11" s="464" t="s">
        <v>49</v>
      </c>
      <c r="U11" s="458"/>
      <c r="V11" s="462" t="s">
        <v>45</v>
      </c>
      <c r="W11" s="465" t="e">
        <f>IF(W8&lt;='Условия программ'!#REF!,'Условия программ'!#REF!,W8)</f>
        <v>#REF!</v>
      </c>
      <c r="X11" s="464" t="s">
        <v>49</v>
      </c>
    </row>
    <row r="12" spans="2:24" ht="9" customHeight="1" thickBot="1">
      <c r="B12" s="123"/>
      <c r="C12" s="296"/>
      <c r="D12" s="141"/>
      <c r="E12" s="246"/>
      <c r="F12" s="297"/>
      <c r="G12" s="298"/>
      <c r="H12" s="90"/>
      <c r="I12" s="90"/>
      <c r="J12" s="90"/>
      <c r="K12" s="330"/>
      <c r="L12" s="330"/>
      <c r="M12" s="106"/>
      <c r="N12" s="106"/>
      <c r="O12" s="90"/>
      <c r="P12" s="294"/>
      <c r="Q12" s="80"/>
      <c r="R12" s="467" t="s">
        <v>45</v>
      </c>
      <c r="S12" s="468" t="e">
        <f>IF(S8&lt;='Условия программ'!#REF!,'Условия программ'!#REF!,S8)</f>
        <v>#REF!</v>
      </c>
      <c r="T12" s="469" t="s">
        <v>36</v>
      </c>
      <c r="U12" s="458"/>
      <c r="V12" s="467" t="s">
        <v>45</v>
      </c>
      <c r="W12" s="468" t="e">
        <f>IF(W8&lt;='Условия программ'!#REF!,'Условия программ'!#REF!,W8)</f>
        <v>#REF!</v>
      </c>
      <c r="X12" s="469" t="s">
        <v>36</v>
      </c>
    </row>
    <row r="13" spans="2:21" ht="9" customHeight="1" thickBot="1">
      <c r="B13" s="123"/>
      <c r="C13" s="300"/>
      <c r="D13" s="301"/>
      <c r="E13" s="302"/>
      <c r="F13" s="90"/>
      <c r="G13" s="302"/>
      <c r="H13" s="302"/>
      <c r="I13" s="112"/>
      <c r="J13" s="112"/>
      <c r="K13" s="302"/>
      <c r="L13" s="302"/>
      <c r="M13" s="302"/>
      <c r="N13" s="302"/>
      <c r="O13" s="302"/>
      <c r="P13" s="115"/>
      <c r="Q13" s="80"/>
      <c r="R13" s="119" t="s">
        <v>51</v>
      </c>
      <c r="S13" s="128" t="s">
        <v>79</v>
      </c>
      <c r="T13" s="119" t="s">
        <v>51</v>
      </c>
      <c r="U13" s="128" t="s">
        <v>80</v>
      </c>
    </row>
    <row r="14" spans="2:21" ht="25.5" customHeight="1" thickBot="1">
      <c r="B14" s="123"/>
      <c r="C14" s="771" t="s">
        <v>109</v>
      </c>
      <c r="D14" s="772"/>
      <c r="E14" s="772"/>
      <c r="F14" s="772"/>
      <c r="G14" s="772"/>
      <c r="H14" s="773"/>
      <c r="I14" s="321"/>
      <c r="J14" s="771" t="s">
        <v>108</v>
      </c>
      <c r="K14" s="772"/>
      <c r="L14" s="772"/>
      <c r="M14" s="772"/>
      <c r="N14" s="772"/>
      <c r="O14" s="773"/>
      <c r="P14" s="115"/>
      <c r="Q14" s="80"/>
      <c r="R14" s="129">
        <f>IF(M7&gt;60,IF(M11=1,'Условия программ'!F7,'Условия программ'!G7),IF(L10&lt;'Условия программ'!G5,IF(M11=1,'Условия программ'!D7,'Условия программ'!E7),IF(M11=1,'Условия программ'!F7,'Условия программ'!G7)))</f>
        <v>0.139</v>
      </c>
      <c r="S14" s="122" t="s">
        <v>48</v>
      </c>
      <c r="T14" s="129">
        <f>IF(M6=1,'Условия программ'!J7,'Условия программ'!J14)</f>
        <v>0.165</v>
      </c>
      <c r="U14" s="122"/>
    </row>
    <row r="15" spans="2:21" ht="18" customHeight="1" thickBot="1">
      <c r="B15" s="123"/>
      <c r="C15" s="303"/>
      <c r="D15" s="331" t="s">
        <v>110</v>
      </c>
      <c r="E15" s="108"/>
      <c r="F15" s="186">
        <f>IF($F$6=1,IF($M$6=1,R14,R15),T14)</f>
        <v>0.165</v>
      </c>
      <c r="G15" s="90"/>
      <c r="H15" s="90"/>
      <c r="I15" s="117"/>
      <c r="J15" s="303"/>
      <c r="K15" s="331" t="s">
        <v>110</v>
      </c>
      <c r="L15" s="108"/>
      <c r="M15" s="186">
        <f>IF($F$6=1,IF($M$6=1,S46,S47),U46)</f>
        <v>0.145</v>
      </c>
      <c r="N15" s="90"/>
      <c r="O15" s="90"/>
      <c r="P15" s="118"/>
      <c r="Q15" s="80"/>
      <c r="R15" s="131">
        <f>IF(M7&gt;60,IF(M11=1,'Условия программ'!F14,'Условия программ'!G14),IF(L10&lt;'Условия программ'!G5,IF(M11=1,'Условия программ'!D14,'Условия программ'!E14),IF(M11=1,'Условия программ'!F14,'Условия программ'!G14)))</f>
        <v>0.129</v>
      </c>
      <c r="S15" s="127" t="s">
        <v>52</v>
      </c>
      <c r="T15" s="131"/>
      <c r="U15" s="127"/>
    </row>
    <row r="16" spans="2:24" ht="9" customHeight="1" thickBot="1">
      <c r="B16" s="123"/>
      <c r="C16" s="303"/>
      <c r="D16" s="90"/>
      <c r="E16" s="90"/>
      <c r="F16" s="309"/>
      <c r="G16" s="90"/>
      <c r="H16" s="90"/>
      <c r="I16" s="321"/>
      <c r="J16" s="303"/>
      <c r="K16" s="90"/>
      <c r="L16" s="90"/>
      <c r="M16" s="309"/>
      <c r="N16" s="90"/>
      <c r="O16" s="90"/>
      <c r="P16" s="118"/>
      <c r="Q16" s="80"/>
      <c r="R16" s="460" t="s">
        <v>59</v>
      </c>
      <c r="S16" s="461"/>
      <c r="T16" s="482"/>
      <c r="V16" s="460" t="s">
        <v>59</v>
      </c>
      <c r="W16" s="461">
        <f>IF(E12=1,IF(M6=1,W18,IF(M6=2,W19,W20)),0)</f>
        <v>0</v>
      </c>
      <c r="X16" s="482"/>
    </row>
    <row r="17" spans="2:24" ht="18" customHeight="1" thickBot="1">
      <c r="B17" s="123"/>
      <c r="C17" s="303"/>
      <c r="D17" s="491" t="s">
        <v>43</v>
      </c>
      <c r="E17" s="90"/>
      <c r="F17" s="311">
        <f>F8-M10</f>
        <v>280000</v>
      </c>
      <c r="G17" s="87" t="str">
        <f>IF($M$6=1,"руб.",IF($M$6=2,"$","евро"))</f>
        <v>руб.</v>
      </c>
      <c r="H17" s="90"/>
      <c r="I17" s="321"/>
      <c r="J17" s="303"/>
      <c r="K17" s="304" t="s">
        <v>131</v>
      </c>
      <c r="L17" s="90"/>
      <c r="M17" s="311">
        <f>F8-M10</f>
        <v>280000</v>
      </c>
      <c r="N17" s="87" t="str">
        <f>IF($M$6=1,"руб.",IF($M$6=2,"$","евро"))</f>
        <v>руб.</v>
      </c>
      <c r="O17" s="90"/>
      <c r="P17" s="118"/>
      <c r="Q17" s="80"/>
      <c r="R17" s="462" t="s">
        <v>47</v>
      </c>
      <c r="S17" s="465" t="e">
        <f>F17*'Условия программ'!#REF!</f>
        <v>#REF!</v>
      </c>
      <c r="T17" s="464"/>
      <c r="V17" s="462" t="s">
        <v>47</v>
      </c>
      <c r="W17" s="465" t="e">
        <f>F17*'Условия программ'!#REF!</f>
        <v>#REF!</v>
      </c>
      <c r="X17" s="464"/>
    </row>
    <row r="18" spans="2:24" ht="9" customHeight="1" thickBot="1">
      <c r="B18" s="123"/>
      <c r="C18" s="303"/>
      <c r="D18" s="305"/>
      <c r="E18" s="100"/>
      <c r="F18" s="312"/>
      <c r="G18" s="90"/>
      <c r="H18" s="90"/>
      <c r="I18" s="321"/>
      <c r="J18" s="303"/>
      <c r="K18" s="305"/>
      <c r="L18" s="100"/>
      <c r="M18" s="312"/>
      <c r="N18" s="90"/>
      <c r="O18" s="90"/>
      <c r="P18" s="118"/>
      <c r="Q18" s="80"/>
      <c r="R18" s="462" t="s">
        <v>45</v>
      </c>
      <c r="S18" s="465" t="e">
        <f>IF(S17&lt;='Условия программ'!#REF!,'Условия программ'!#REF!,S17)</f>
        <v>#REF!</v>
      </c>
      <c r="T18" s="464" t="s">
        <v>60</v>
      </c>
      <c r="V18" s="462" t="s">
        <v>45</v>
      </c>
      <c r="W18" s="465" t="e">
        <f>IF(W17&lt;='Условия программ'!#REF!,'Условия программ'!#REF!,W17)</f>
        <v>#REF!</v>
      </c>
      <c r="X18" s="464" t="s">
        <v>60</v>
      </c>
    </row>
    <row r="19" spans="2:24" ht="18" customHeight="1" thickBot="1">
      <c r="B19" s="123"/>
      <c r="C19" s="303"/>
      <c r="D19" s="784" t="s">
        <v>103</v>
      </c>
      <c r="E19" s="784"/>
      <c r="F19" s="313" t="s">
        <v>29</v>
      </c>
      <c r="G19" s="326" t="str">
        <f>IF($M$6=1,"руб.",IF($M$6=2,"$","евро"))</f>
        <v>руб.</v>
      </c>
      <c r="H19" s="130"/>
      <c r="I19" s="130"/>
      <c r="J19" s="303"/>
      <c r="K19" s="784" t="s">
        <v>103</v>
      </c>
      <c r="L19" s="784"/>
      <c r="M19" s="311">
        <f>M21-M17</f>
        <v>16924.708377518516</v>
      </c>
      <c r="N19" s="87" t="str">
        <f>IF($M$6=1,"руб.",IF($M$6=2,"$","евро"))</f>
        <v>руб.</v>
      </c>
      <c r="O19" s="130"/>
      <c r="P19" s="115"/>
      <c r="Q19" s="80"/>
      <c r="R19" s="462" t="s">
        <v>45</v>
      </c>
      <c r="S19" s="465" t="e">
        <f>IF(S17&lt;='Условия программ'!#REF!,'Условия программ'!#REF!,S17)</f>
        <v>#REF!</v>
      </c>
      <c r="T19" s="464" t="s">
        <v>49</v>
      </c>
      <c r="V19" s="462" t="s">
        <v>45</v>
      </c>
      <c r="W19" s="465" t="e">
        <f>IF(W17&lt;='Условия программ'!#REF!,'Условия программ'!#REF!,W17)</f>
        <v>#REF!</v>
      </c>
      <c r="X19" s="464" t="s">
        <v>49</v>
      </c>
    </row>
    <row r="20" spans="2:24" ht="9" customHeight="1" thickBot="1">
      <c r="B20" s="123"/>
      <c r="C20" s="303"/>
      <c r="D20" s="306"/>
      <c r="E20" s="306"/>
      <c r="F20" s="314"/>
      <c r="G20" s="99"/>
      <c r="H20" s="90"/>
      <c r="I20" s="321"/>
      <c r="J20" s="303"/>
      <c r="K20" s="306"/>
      <c r="L20" s="306"/>
      <c r="M20" s="314"/>
      <c r="N20" s="99"/>
      <c r="O20" s="90"/>
      <c r="P20" s="118"/>
      <c r="Q20" s="80"/>
      <c r="R20" s="467" t="s">
        <v>45</v>
      </c>
      <c r="S20" s="468" t="e">
        <f>IF(S17&lt;='Условия программ'!#REF!,'Условия программ'!#REF!,S17)</f>
        <v>#REF!</v>
      </c>
      <c r="T20" s="469" t="s">
        <v>36</v>
      </c>
      <c r="V20" s="467" t="s">
        <v>45</v>
      </c>
      <c r="W20" s="468" t="e">
        <f>IF(W17&lt;='Условия программ'!#REF!,'Условия программ'!#REF!,W17)</f>
        <v>#REF!</v>
      </c>
      <c r="X20" s="469" t="s">
        <v>36</v>
      </c>
    </row>
    <row r="21" spans="2:17" ht="18" customHeight="1" thickBot="1">
      <c r="B21" s="123"/>
      <c r="C21" s="303"/>
      <c r="D21" s="304" t="s">
        <v>104</v>
      </c>
      <c r="E21" s="88"/>
      <c r="F21" s="311">
        <f>F17</f>
        <v>280000</v>
      </c>
      <c r="G21" s="87" t="str">
        <f>G17</f>
        <v>руб.</v>
      </c>
      <c r="H21" s="100"/>
      <c r="I21" s="322"/>
      <c r="J21" s="303"/>
      <c r="K21" s="491" t="s">
        <v>104</v>
      </c>
      <c r="L21" s="88"/>
      <c r="M21" s="311">
        <f>M17/(1-'Условия программ'!S108*M7/12)</f>
        <v>296924.7083775185</v>
      </c>
      <c r="N21" s="87" t="str">
        <f>N17</f>
        <v>руб.</v>
      </c>
      <c r="O21" s="130"/>
      <c r="P21" s="115"/>
      <c r="Q21" s="80"/>
    </row>
    <row r="22" spans="2:22" ht="9" customHeight="1" thickBot="1">
      <c r="B22" s="320"/>
      <c r="C22" s="292"/>
      <c r="D22" s="99"/>
      <c r="E22" s="99"/>
      <c r="F22" s="315"/>
      <c r="G22" s="99"/>
      <c r="H22" s="100"/>
      <c r="I22" s="322"/>
      <c r="J22" s="292"/>
      <c r="K22" s="99"/>
      <c r="L22" s="99"/>
      <c r="M22" s="315"/>
      <c r="N22" s="99"/>
      <c r="O22" s="140"/>
      <c r="P22" s="118"/>
      <c r="Q22" s="80"/>
      <c r="R22" s="119" t="s">
        <v>62</v>
      </c>
      <c r="S22" s="120"/>
      <c r="T22" s="128"/>
      <c r="U22" s="80" t="s">
        <v>124</v>
      </c>
      <c r="V22" s="484" t="str">
        <f>IF($F$6=1,IF($M$7&lt;=60,IF($L$10&gt;='Условия программ'!G5,"Необходимо увеличить размер первоначального взноса до необходимого минимума - 30% от совокупной стоимости автомобиля","Необходимо увеличить размер первоначального взноса до необходимого минимума - 15% от совокупной стоимости автомобиля"),"Необходимо увеличить размер первоначального взноса до необходимого минимума - 30% от совокупной стоимости автомобиля"),"Необходимо увеличить размер первоначального взноса до необходимого минимума - 30% от совокупной стоимости автомобиля")</f>
        <v>Необходимо увеличить размер первоначального взноса до необходимого минимума - 30% от совокупной стоимости автомобиля</v>
      </c>
    </row>
    <row r="23" spans="2:20" ht="18" customHeight="1" thickBot="1">
      <c r="B23" s="123"/>
      <c r="C23" s="303"/>
      <c r="D23" s="304" t="s">
        <v>106</v>
      </c>
      <c r="E23" s="316"/>
      <c r="F23" s="317" t="s">
        <v>93</v>
      </c>
      <c r="G23" s="143"/>
      <c r="H23" s="132"/>
      <c r="I23" s="319"/>
      <c r="J23" s="303"/>
      <c r="K23" s="304" t="s">
        <v>106</v>
      </c>
      <c r="L23" s="316"/>
      <c r="M23" s="337" t="s">
        <v>93</v>
      </c>
      <c r="N23" s="143"/>
      <c r="O23" s="140"/>
      <c r="P23" s="118"/>
      <c r="Q23" s="80"/>
      <c r="R23" s="121">
        <f>IF($F$6=2,IF($M$7&lt;12,"Необходимо увеличить срок кредита. Минимальный срок кредитования - 12 месяцев",IF($M$7&gt;36,"Необходимо уменьшить срок кредита. Максимальный срок кредитования подержанных автомобилей - 36 месяцев",IF($E$10&gt;10%,"Стоимость дополнительного оборудования должна быть не более 10% от стоимости автомобиля",IF($L$10&lt;$L$9,V22,IF($L$10&gt;70%,"Необходимо уменьшить размер первоначального взноса. Максимальный размер - 70% от совокупной стоимости автомобиля",IF($M$11=2,"Предоставление документов, подтверждающих доход, обязательно",$R$25)))))),$R$24)</f>
      </c>
      <c r="S23" s="124"/>
      <c r="T23" s="122"/>
    </row>
    <row r="24" spans="2:20" ht="9" customHeight="1" thickBot="1">
      <c r="B24" s="123"/>
      <c r="C24" s="303"/>
      <c r="D24" s="88"/>
      <c r="E24" s="99"/>
      <c r="F24" s="143"/>
      <c r="G24" s="99"/>
      <c r="H24" s="106"/>
      <c r="I24" s="325"/>
      <c r="J24" s="303"/>
      <c r="K24" s="143"/>
      <c r="L24" s="99"/>
      <c r="M24" s="143"/>
      <c r="N24" s="139"/>
      <c r="O24" s="141"/>
      <c r="P24" s="118"/>
      <c r="Q24" s="80"/>
      <c r="R24" s="121">
        <f>IF($E$10&gt;10%,"Стоимость дополнительного оборудования должна быть не более 10% от стоимости автомобиля",IF($M$7&lt;12,"Необходимо увеличить срок кредита. Минимальный срок кредитования - 12 месяцев",IF($M$7&gt;84,"Необходимо уменьшить срок кредита. Максимальный срок кредитования - 84 месяцев",IF($L$10&lt;$L$9,V22,IF($L$10&gt;70%,"Необходимо уменьшить размер первоначального взноса. Максимальный размер - 70% от совокупной стоимости автомобиля",$R$25)))))</f>
      </c>
      <c r="S24" s="124"/>
      <c r="T24" s="122"/>
    </row>
    <row r="25" spans="2:20" ht="18" customHeight="1" thickBot="1">
      <c r="B25" s="123"/>
      <c r="C25" s="303"/>
      <c r="D25" s="308" t="s">
        <v>105</v>
      </c>
      <c r="E25" s="99"/>
      <c r="F25" s="311">
        <f>($F$17*($F$15/12))/(1-(1+$F$15/12)^(-$M$7))</f>
        <v>9913.227114006442</v>
      </c>
      <c r="G25" s="307" t="str">
        <f>IF($M$6=1,"руб.",IF($M$6=2,"$","евро"))</f>
        <v>руб.</v>
      </c>
      <c r="H25" s="106"/>
      <c r="I25" s="325"/>
      <c r="J25" s="303"/>
      <c r="K25" s="308" t="s">
        <v>105</v>
      </c>
      <c r="L25" s="99"/>
      <c r="M25" s="311">
        <f>($M$21*($M$15/12))/(1-(1+$M$15/12)^(-$M$7))</f>
        <v>10220.438689276734</v>
      </c>
      <c r="N25" s="307" t="str">
        <f>IF($M$6=1,"руб.",IF($M$6=2,"$","евро"))</f>
        <v>руб.</v>
      </c>
      <c r="O25" s="327"/>
      <c r="P25" s="115"/>
      <c r="Q25" s="80"/>
      <c r="R25" s="121">
        <f>IF(M6=1,S26,IF(M6=2,S27,S28))</f>
      </c>
      <c r="T25" s="122"/>
    </row>
    <row r="26" spans="2:20" ht="9" customHeight="1" thickBot="1">
      <c r="B26" s="123"/>
      <c r="C26" s="303"/>
      <c r="D26" s="143"/>
      <c r="E26" s="99"/>
      <c r="F26" s="305"/>
      <c r="G26" s="99"/>
      <c r="H26" s="90"/>
      <c r="I26" s="117"/>
      <c r="J26" s="303"/>
      <c r="K26" s="99"/>
      <c r="L26" s="99"/>
      <c r="M26" s="305"/>
      <c r="N26" s="99"/>
      <c r="O26" s="141"/>
      <c r="P26" s="118"/>
      <c r="Q26" s="80"/>
      <c r="R26" s="121" t="s">
        <v>63</v>
      </c>
      <c r="S26" s="124">
        <f>IF(F9&lt;1000000,IF(M7&gt;60,"Кредит до 7 лет предоставляется при стоимости автомобиля 1 000 000 рублей и выше",IF(F17&lt;'Условия программ'!L17,"Сумма кредита должна быть не менее 50 000 рублей","")),"")</f>
      </c>
      <c r="T26" s="122" t="s">
        <v>48</v>
      </c>
    </row>
    <row r="27" spans="2:20" ht="18" customHeight="1" thickBot="1">
      <c r="B27" s="123"/>
      <c r="C27" s="303"/>
      <c r="D27" s="304" t="s">
        <v>107</v>
      </c>
      <c r="E27" s="99"/>
      <c r="F27" s="318">
        <f>F25*M7-F17</f>
        <v>76876.17610423191</v>
      </c>
      <c r="G27" s="310" t="str">
        <f>IF($M$6=1,"руб.",IF($M$6=2,"$","евро"))</f>
        <v>руб.</v>
      </c>
      <c r="H27" s="90"/>
      <c r="I27" s="117"/>
      <c r="J27" s="303"/>
      <c r="K27" s="304" t="s">
        <v>107</v>
      </c>
      <c r="L27" s="99"/>
      <c r="M27" s="318">
        <f>M25*M7-M21</f>
        <v>71011.08443644393</v>
      </c>
      <c r="N27" s="310" t="str">
        <f>IF($M$6=1,"руб.",IF($M$6=2,"$","евро"))</f>
        <v>руб.</v>
      </c>
      <c r="O27" s="327"/>
      <c r="P27" s="115"/>
      <c r="R27" s="121" t="s">
        <v>63</v>
      </c>
      <c r="S27" s="124">
        <f>IF($F$9&lt;30000,IF($M$7&gt;60,"Кредит до 7 лет предоставляется при стоимости автомобиля 30 000 долларов США и выше",IF(F17&lt;'Условия программ'!L18,"Сумма кредита должна быть не менее 1 500 долларов США","")),"")</f>
      </c>
      <c r="T27" s="122" t="s">
        <v>49</v>
      </c>
    </row>
    <row r="28" spans="2:20" ht="9" customHeight="1">
      <c r="B28" s="320"/>
      <c r="C28" s="292"/>
      <c r="D28" s="304"/>
      <c r="E28" s="99"/>
      <c r="F28" s="323"/>
      <c r="G28" s="307"/>
      <c r="H28" s="90"/>
      <c r="I28" s="117"/>
      <c r="J28" s="303"/>
      <c r="K28" s="304"/>
      <c r="L28" s="99"/>
      <c r="M28" s="323"/>
      <c r="N28" s="307"/>
      <c r="O28" s="477"/>
      <c r="P28" s="118"/>
      <c r="R28" s="125" t="s">
        <v>63</v>
      </c>
      <c r="S28" s="126">
        <f>IF(F9&lt;27000,IF(M7&gt;60,"Кредит до 7 лет предоставляется при стоимости автомобиля 27000 евро и выше",IF(F17&lt;'Условия программ'!L19,"Сумма кредита должна быть не менее 1 350 евро","")),"")</f>
      </c>
      <c r="T28" s="127" t="s">
        <v>36</v>
      </c>
    </row>
    <row r="29" spans="2:18" s="520" customFormat="1" ht="14.25" customHeight="1" thickBot="1">
      <c r="B29" s="513"/>
      <c r="C29" s="514"/>
      <c r="D29" s="785" t="s">
        <v>44</v>
      </c>
      <c r="E29" s="785"/>
      <c r="F29" s="785"/>
      <c r="G29" s="785"/>
      <c r="H29" s="515"/>
      <c r="I29" s="516"/>
      <c r="J29" s="514"/>
      <c r="K29" s="786" t="s">
        <v>44</v>
      </c>
      <c r="L29" s="786"/>
      <c r="M29" s="786"/>
      <c r="N29" s="786"/>
      <c r="O29" s="507"/>
      <c r="P29" s="517"/>
      <c r="Q29" s="518"/>
      <c r="R29" s="519" t="s">
        <v>116</v>
      </c>
    </row>
    <row r="30" spans="2:20" ht="18" customHeight="1">
      <c r="B30" s="123"/>
      <c r="C30" s="474"/>
      <c r="D30" s="774">
        <f>R23</f>
      </c>
      <c r="E30" s="775"/>
      <c r="F30" s="775"/>
      <c r="G30" s="776"/>
      <c r="H30" s="470"/>
      <c r="I30" s="324"/>
      <c r="J30" s="471"/>
      <c r="K30" s="774">
        <f>S31</f>
      </c>
      <c r="L30" s="775"/>
      <c r="M30" s="775"/>
      <c r="N30" s="776"/>
      <c r="O30" s="324"/>
      <c r="P30" s="118"/>
      <c r="R30" s="119" t="s">
        <v>62</v>
      </c>
      <c r="S30" s="120"/>
      <c r="T30" s="128"/>
    </row>
    <row r="31" spans="2:20" ht="18" customHeight="1">
      <c r="B31" s="123"/>
      <c r="C31" s="475"/>
      <c r="D31" s="777"/>
      <c r="E31" s="778"/>
      <c r="F31" s="778"/>
      <c r="G31" s="779"/>
      <c r="H31" s="470"/>
      <c r="I31" s="478"/>
      <c r="J31" s="324"/>
      <c r="K31" s="777"/>
      <c r="L31" s="778"/>
      <c r="M31" s="778"/>
      <c r="N31" s="779"/>
      <c r="O31" s="324"/>
      <c r="P31" s="118"/>
      <c r="R31" s="121" t="s">
        <v>123</v>
      </c>
      <c r="S31" s="27">
        <f>IF($F$6=2,IF($M$7&lt;12,"Необходимо увеличить срок кредита. Минимальный срок кредитования - 12 месяцев",IF($M$7&gt;36,"Необходимо уменьшить срок кредита. Максимальный срок кредитования подержанных автомобилей - 36 месяцев",IF($E$10&gt;10%,"Стоимость дополнительного оборудования должна быть не более 10% от стоимости автомобиля",IF($L$10&lt;'Условия программ'!W6,"Необходимо увеличить размер первоначального взноса до необходимого минимума - 30% от совокупной стоимости автомобиля",IF($L$10&gt;70%,"Необходимо уменьшить размер первоначального взноса. Максимальный размер - 70% от совокупной стоимости автомобиля",IF($M$11=2,"Предоставление документов, подтверждающих доход, обязательно",S40)))))),S32)</f>
      </c>
      <c r="T31" s="122"/>
    </row>
    <row r="32" spans="2:20" ht="18" customHeight="1">
      <c r="B32" s="123"/>
      <c r="C32" s="475"/>
      <c r="D32" s="777"/>
      <c r="E32" s="778"/>
      <c r="F32" s="778"/>
      <c r="G32" s="779"/>
      <c r="H32" s="470"/>
      <c r="I32" s="478"/>
      <c r="J32" s="324"/>
      <c r="K32" s="777"/>
      <c r="L32" s="778"/>
      <c r="M32" s="778"/>
      <c r="N32" s="779"/>
      <c r="O32" s="481"/>
      <c r="P32" s="115"/>
      <c r="R32" s="121" t="s">
        <v>79</v>
      </c>
      <c r="S32" s="27">
        <f>IF($E$10&gt;10%,"Стоимость дополнительного оборудования должна быть не более 10% от стоимости автомобиля",IF($M$7&lt;12,"Необходимо увеличить срок кредита. Минимальный срок кредитования - 12 месяцев",IF($M$7&gt;84,"Необходимо уменьшить срок кредита. Максимальный срок кредитования - 84 месяцев",IF($L$10&lt;S33,T33,IF($L$10&gt;70%,"Необходимо уменьшить размер первоначального взноса. Максимальный размер - 70% от совокупной стоимости автомобиля",IF(M11=2,S34,S40))))))</f>
      </c>
      <c r="T32" s="122"/>
    </row>
    <row r="33" spans="2:20" ht="18" customHeight="1" thickBot="1">
      <c r="B33" s="123"/>
      <c r="C33" s="475"/>
      <c r="D33" s="780"/>
      <c r="E33" s="781"/>
      <c r="F33" s="781"/>
      <c r="G33" s="782"/>
      <c r="H33" s="470"/>
      <c r="I33" s="478"/>
      <c r="J33" s="471"/>
      <c r="K33" s="780"/>
      <c r="L33" s="781"/>
      <c r="M33" s="781"/>
      <c r="N33" s="782"/>
      <c r="O33" s="324"/>
      <c r="P33" s="118"/>
      <c r="R33" s="121" t="s">
        <v>124</v>
      </c>
      <c r="S33" s="484">
        <f>IF($F$6=1,IF($M$7&lt;=60,IF($L$10&gt;='Условия программ'!T5,'Условия программ'!T5,'Условия программ'!R5),'Условия программ'!T5),'Условия программ'!W6)</f>
        <v>0.3</v>
      </c>
      <c r="T33" s="484" t="str">
        <f>IF($F$6=1,IF($M$7&lt;=60,IF($L$10&gt;='Условия программ'!T5,"Необходимо увеличить размер первоначального взноса до необходимого минимума - 30% от совокупной стоимости автомобиля","Необходимо увеличить размер первоначального взноса до необходимого минимума - 25% от совокупной стоимости автомобиля"),"Необходимо увеличить размер первоначального взноса до необходимого минимума - 30% от совокупной стоимости автомобиля"),"Необходимо увеличить размер первоначального взноса до необходимого минимума - 30% от совокупной стоимости автомобиля")</f>
        <v>Необходимо увеличить размер первоначального взноса до необходимого минимума - 30% от совокупной стоимости автомобиля</v>
      </c>
    </row>
    <row r="34" spans="2:19" ht="9" customHeight="1" thickBot="1">
      <c r="B34" s="320"/>
      <c r="C34" s="476"/>
      <c r="D34" s="473"/>
      <c r="E34" s="473"/>
      <c r="F34" s="473"/>
      <c r="G34" s="290"/>
      <c r="H34" s="324"/>
      <c r="I34" s="471"/>
      <c r="J34" s="479"/>
      <c r="K34" s="290"/>
      <c r="L34" s="290"/>
      <c r="M34" s="480"/>
      <c r="N34" s="480"/>
      <c r="O34" s="328"/>
      <c r="P34" s="115"/>
      <c r="R34" s="485" t="s">
        <v>125</v>
      </c>
      <c r="S34" s="27">
        <f>IF(M7&gt;60,"При кредитовании свыше 60 месяцев предоставление документов, подтверждающих доходы, обязательно",S40)</f>
      </c>
    </row>
    <row r="35" spans="2:19" ht="9" customHeight="1" thickBot="1">
      <c r="B35" s="133"/>
      <c r="C35" s="134"/>
      <c r="D35" s="134"/>
      <c r="E35" s="134"/>
      <c r="F35" s="134"/>
      <c r="G35" s="472"/>
      <c r="H35" s="472"/>
      <c r="I35" s="135"/>
      <c r="J35" s="135"/>
      <c r="K35" s="472"/>
      <c r="L35" s="472"/>
      <c r="M35" s="135"/>
      <c r="N35" s="135"/>
      <c r="O35" s="134"/>
      <c r="P35" s="136"/>
      <c r="R35" s="121" t="s">
        <v>126</v>
      </c>
      <c r="S35" s="27"/>
    </row>
    <row r="36" spans="2:19" ht="18" customHeight="1">
      <c r="B36" s="137"/>
      <c r="C36" s="137"/>
      <c r="R36" s="121" t="s">
        <v>82</v>
      </c>
      <c r="S36" s="27">
        <f>IF(M7&gt;60,"Кредит до 7 лет предоставляется при стоимости автомобиля 1 000 000 рублей и выше",T41)</f>
      </c>
    </row>
    <row r="37" spans="2:19" ht="16.5" customHeight="1">
      <c r="B37" s="138"/>
      <c r="R37" s="121" t="s">
        <v>49</v>
      </c>
      <c r="S37" s="27" t="str">
        <f>IF($M$7&gt;60,"Кредит до 7 лет предоставляется при стоимости автомобиля 30 000 долларов США и выше",T42)</f>
        <v>Итоговая сумма кредита должна быть не более 1500 000 рублей (эквивалент суммы в долларах США по курсу ЦБ РФ)</v>
      </c>
    </row>
    <row r="38" spans="2:19" ht="16.5" customHeight="1">
      <c r="B38" s="138" t="s">
        <v>132</v>
      </c>
      <c r="R38" s="121"/>
      <c r="S38" s="27"/>
    </row>
    <row r="39" spans="2:19" ht="16.5" customHeight="1">
      <c r="B39" s="138"/>
      <c r="R39" s="125" t="s">
        <v>36</v>
      </c>
      <c r="S39" s="27" t="str">
        <f>IF($M$7&gt;60,"Кредит до 7 лет предоставляется при стоимости автомобиля 27 000 евро и выше",T43)</f>
        <v>Итоговая сумма кредита должна быть не более 1 500 000 рублей (эквивалент суммы в евро по курсу ЦБ РФ)</v>
      </c>
    </row>
    <row r="40" spans="18:20" ht="15.75">
      <c r="R40" s="121" t="s">
        <v>122</v>
      </c>
      <c r="S40" s="27">
        <f>IF($M$6=1,S41,IF($M$6=2,S42,S43))</f>
      </c>
      <c r="T40" s="122"/>
    </row>
    <row r="41" spans="18:20" ht="15.75">
      <c r="R41" s="121" t="s">
        <v>82</v>
      </c>
      <c r="S41" s="27">
        <f>IF($F$9&lt;1000000,$S$36,IF($M$17&lt;'Условия программ'!$S$17,"Сумма кредита (заявленная) должна быть не менее 100 000 рублей",IF($M$21&gt;'Условия программ'!$Y$17,"Итоговая сумма кредита должна быть не более 1 500 000 рублей","")))</f>
      </c>
      <c r="T41" s="27">
        <f>IF($M$17&lt;'Условия программ'!$S$17,"Сумма кредита (заявленная) должна быть не менее 100 000 рублей",IF($M$21&gt;'Условия программ'!$Y$17,"Итоговая сумма кредита должна быть не более 1 500 000 рублей",""))</f>
      </c>
    </row>
    <row r="42" spans="18:20" ht="15.75">
      <c r="R42" s="121" t="s">
        <v>49</v>
      </c>
      <c r="S42" s="27" t="str">
        <f>IF($F$9&lt;30000,S37,IF($M$17&lt;'Условия программ'!$S$18,"Сумма кредита (заявленная) должна быть не менее 100 000 рублей (эквивалент суммы в долларах США по курсу ЦБ РФ)",IF($M$21&gt;'Условия программ'!$Y$18,"Итоговая сумма кредита должна быть не более 1 500 000 рублей (эквивалент суммы в долларах США по курсу ЦБ РФ)","")))</f>
        <v>Итоговая сумма кредита должна быть не более 1 500 000 рублей (эквивалент суммы в долларах США по курсу ЦБ РФ)</v>
      </c>
      <c r="T42" s="27" t="str">
        <f>IF($M$17&lt;'Условия программ'!$S$18,"Сумма кредита (заявленная) должна быть не менее 100 000 рублей (эквивалент суммы в долларах США по курсу ЦБ РФ)",IF($M$21&gt;'Условия программ'!$Y$18,"Итоговая сумма кредита должна быть не более 1500 000 рублей (эквивалент суммы в долларах США по курсу ЦБ РФ)",""))</f>
        <v>Итоговая сумма кредита должна быть не более 1500 000 рублей (эквивалент суммы в долларах США по курсу ЦБ РФ)</v>
      </c>
    </row>
    <row r="43" spans="18:20" ht="15.75">
      <c r="R43" s="121" t="s">
        <v>36</v>
      </c>
      <c r="S43" s="487" t="str">
        <f>IF($F$9&lt;27000,S39,IF($M$17&lt;'Условия программ'!$S$19,"Сумма кредита (заявленная) должна быть не менее 100 000 рублей (эквивалент суммы в евро по курсу ЦБ РФ)",IF($M$21&gt;'Условия программ'!$Y$19,"Итоговая сумма кредита должна быть не более 1 500 000 рублей (эквивалент суммы в евро по курсу ЦБ РФ)","")))</f>
        <v>Итоговая сумма кредита должна быть не более 1 500 000 рублей (эквивалент суммы в евро по курсу ЦБ РФ)</v>
      </c>
      <c r="T43" s="487" t="str">
        <f>IF($M$17&lt;'Условия программ'!$S$19,"Сумма кредита (заявленная) должна быть не менее 100 000 рублей (эквивалент суммы в евро по курсу ЦБ РФ)",IF($M$21&gt;'Условия программ'!$Y$19,"Итоговая сумма кредита должна быть не более 1 500 000 рублей (эквивалент суммы в евро по курсу ЦБ РФ)",""))</f>
        <v>Итоговая сумма кредита должна быть не более 1 500 000 рублей (эквивалент суммы в евро по курсу ЦБ РФ)</v>
      </c>
    </row>
    <row r="44" spans="18:22" ht="15.75">
      <c r="R44" s="486" t="s">
        <v>127</v>
      </c>
      <c r="S44" s="120"/>
      <c r="T44" s="120"/>
      <c r="U44" s="120"/>
      <c r="V44" s="128"/>
    </row>
    <row r="45" spans="18:22" ht="15.75">
      <c r="R45" s="488" t="s">
        <v>79</v>
      </c>
      <c r="S45" s="489"/>
      <c r="T45" s="489" t="s">
        <v>80</v>
      </c>
      <c r="U45" s="124"/>
      <c r="V45" s="122"/>
    </row>
    <row r="46" spans="18:22" ht="15.75">
      <c r="R46" s="121" t="s">
        <v>30</v>
      </c>
      <c r="S46" s="490">
        <f>IF($M$7&gt;60,'Условия программ'!S8,IF($M$11=1,IF($L$10&gt;='Условия программ'!T5,'Условия программ'!S7,'Условия программ'!Q7),IF($L$10&gt;='Условия программ'!T5,'Условия программ'!T7,'Условия программ'!R7)))</f>
        <v>0.119</v>
      </c>
      <c r="T46" s="124" t="s">
        <v>129</v>
      </c>
      <c r="U46" s="490">
        <f>IF($M$6=1,'Условия программ'!W7,'Условия программ'!W14)</f>
        <v>0.145</v>
      </c>
      <c r="V46" s="122"/>
    </row>
    <row r="47" spans="18:22" ht="15.75">
      <c r="R47" s="121" t="s">
        <v>128</v>
      </c>
      <c r="S47" s="490">
        <f>IF($M$7&gt;60,'Условия программ'!S15,IF($M$11=1,IF($L$10&gt;='Условия программ'!T12,'Условия программ'!S14,'Условия программ'!Q14),IF($L$10&gt;='Условия программ'!T12,'Условия программ'!T14,'Условия программ'!R14)))</f>
        <v>0.109</v>
      </c>
      <c r="T47" s="124"/>
      <c r="U47" s="124"/>
      <c r="V47" s="122"/>
    </row>
    <row r="48" spans="18:22" ht="15.75">
      <c r="R48" s="125"/>
      <c r="S48" s="126"/>
      <c r="T48" s="126"/>
      <c r="U48" s="126"/>
      <c r="V48" s="127"/>
    </row>
  </sheetData>
  <sheetProtection password="CE1C" sheet="1" objects="1" scenarios="1"/>
  <mergeCells count="11">
    <mergeCell ref="D4:K4"/>
    <mergeCell ref="D19:E19"/>
    <mergeCell ref="K19:L19"/>
    <mergeCell ref="D29:G29"/>
    <mergeCell ref="K29:N29"/>
    <mergeCell ref="C14:H14"/>
    <mergeCell ref="C5:O5"/>
    <mergeCell ref="K11:L11"/>
    <mergeCell ref="J14:O14"/>
    <mergeCell ref="D30:G33"/>
    <mergeCell ref="K30:N33"/>
  </mergeCells>
  <printOptions/>
  <pageMargins left="0.984251968503937" right="0.92" top="0.49" bottom="0.984251968503937" header="0.3937007874015748" footer="0.5905511811023623"/>
  <pageSetup horizontalDpi="600" verticalDpi="600" orientation="landscape" paperSize="9" scale="74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3">
    <tabColor indexed="12"/>
  </sheetPr>
  <dimension ref="A1:BN220"/>
  <sheetViews>
    <sheetView showGridLines="0" zoomScale="71" zoomScaleNormal="71" workbookViewId="0" topLeftCell="A1">
      <pane xSplit="16" ySplit="35" topLeftCell="Q36" activePane="bottomRight" state="frozen"/>
      <selection pane="topLeft" activeCell="A1" sqref="A1"/>
      <selection pane="topRight" activeCell="Q1" sqref="Q1"/>
      <selection pane="bottomLeft" activeCell="A36" sqref="A36"/>
      <selection pane="bottomRight" activeCell="M11" sqref="M11"/>
    </sheetView>
  </sheetViews>
  <sheetFormatPr defaultColWidth="9.75390625" defaultRowHeight="12.75"/>
  <cols>
    <col min="1" max="1" width="2.75390625" style="188" customWidth="1"/>
    <col min="2" max="2" width="2.625" style="80" customWidth="1"/>
    <col min="3" max="3" width="2.75390625" style="80" customWidth="1"/>
    <col min="4" max="4" width="37.25390625" style="80" customWidth="1"/>
    <col min="5" max="5" width="9.625" style="80" customWidth="1"/>
    <col min="6" max="6" width="21.75390625" style="80" customWidth="1"/>
    <col min="7" max="7" width="5.25390625" style="80" customWidth="1"/>
    <col min="8" max="9" width="2.75390625" style="80" customWidth="1"/>
    <col min="10" max="10" width="2.625" style="80" customWidth="1"/>
    <col min="11" max="11" width="37.875" style="80" customWidth="1"/>
    <col min="12" max="12" width="9.625" style="80" customWidth="1"/>
    <col min="13" max="13" width="22.125" style="80" customWidth="1"/>
    <col min="14" max="14" width="5.125" style="80" customWidth="1"/>
    <col min="15" max="16" width="2.75390625" style="80" customWidth="1"/>
    <col min="17" max="17" width="2.00390625" style="189" customWidth="1"/>
    <col min="18" max="18" width="7.625" style="189" hidden="1" customWidth="1"/>
    <col min="19" max="26" width="7.625" style="188" hidden="1" customWidth="1"/>
    <col min="27" max="27" width="10.375" style="188" hidden="1" customWidth="1"/>
    <col min="28" max="30" width="8.375" style="188" customWidth="1"/>
    <col min="31" max="66" width="9.75390625" style="188" customWidth="1"/>
    <col min="67" max="16384" width="9.75390625" style="80" customWidth="1"/>
  </cols>
  <sheetData>
    <row r="1" spans="2:24" ht="8.25" customHeight="1" thickBot="1"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R1" s="190">
        <v>1</v>
      </c>
      <c r="S1" s="190">
        <v>2</v>
      </c>
      <c r="T1" s="190">
        <v>3</v>
      </c>
      <c r="U1" s="190">
        <v>4</v>
      </c>
      <c r="V1" s="190">
        <v>5</v>
      </c>
      <c r="W1" s="190">
        <v>6</v>
      </c>
      <c r="X1" s="190"/>
    </row>
    <row r="2" spans="2:24" ht="10.5" customHeight="1">
      <c r="B2" s="111"/>
      <c r="C2" s="1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112"/>
      <c r="P2" s="113"/>
      <c r="Q2" s="188"/>
      <c r="R2" s="192" t="s">
        <v>41</v>
      </c>
      <c r="S2" s="192" t="s">
        <v>39</v>
      </c>
      <c r="T2" s="192" t="s">
        <v>8</v>
      </c>
      <c r="U2" s="192" t="s">
        <v>140</v>
      </c>
      <c r="V2" s="441" t="s">
        <v>40</v>
      </c>
      <c r="W2" s="192"/>
      <c r="X2" s="441" t="s">
        <v>74</v>
      </c>
    </row>
    <row r="3" spans="2:24" ht="18" customHeight="1">
      <c r="B3" s="114"/>
      <c r="C3" s="90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90"/>
      <c r="P3" s="115"/>
      <c r="Q3" s="188"/>
      <c r="R3" s="192" t="s">
        <v>42</v>
      </c>
      <c r="S3" s="192" t="s">
        <v>40</v>
      </c>
      <c r="T3" s="192" t="s">
        <v>37</v>
      </c>
      <c r="U3" s="192" t="s">
        <v>136</v>
      </c>
      <c r="V3" s="441" t="s">
        <v>39</v>
      </c>
      <c r="W3" s="192"/>
      <c r="X3" s="441" t="s">
        <v>75</v>
      </c>
    </row>
    <row r="4" spans="2:21" ht="18" customHeight="1" thickBot="1">
      <c r="B4" s="114"/>
      <c r="C4" s="793" t="s">
        <v>143</v>
      </c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116"/>
      <c r="O4" s="90"/>
      <c r="P4" s="115"/>
      <c r="Q4" s="188"/>
      <c r="R4" s="188"/>
      <c r="T4" s="192" t="s">
        <v>58</v>
      </c>
      <c r="U4" s="192"/>
    </row>
    <row r="5" spans="2:21" ht="21" customHeight="1">
      <c r="B5" s="114"/>
      <c r="C5" s="790" t="s">
        <v>57</v>
      </c>
      <c r="D5" s="791"/>
      <c r="E5" s="791"/>
      <c r="F5" s="791"/>
      <c r="G5" s="791"/>
      <c r="H5" s="791"/>
      <c r="I5" s="791"/>
      <c r="J5" s="791"/>
      <c r="K5" s="791"/>
      <c r="L5" s="791"/>
      <c r="M5" s="791"/>
      <c r="N5" s="791"/>
      <c r="O5" s="792"/>
      <c r="P5" s="115"/>
      <c r="Q5" s="188"/>
      <c r="R5" s="457" t="s">
        <v>119</v>
      </c>
      <c r="U5" s="192"/>
    </row>
    <row r="6" spans="2:24" ht="18" customHeight="1" thickBot="1">
      <c r="B6" s="114"/>
      <c r="C6" s="114"/>
      <c r="D6" s="89" t="s">
        <v>4</v>
      </c>
      <c r="E6" s="90"/>
      <c r="F6" s="28">
        <v>1</v>
      </c>
      <c r="G6" s="90"/>
      <c r="H6" s="100"/>
      <c r="I6" s="100"/>
      <c r="J6" s="100"/>
      <c r="K6" s="99" t="s">
        <v>5</v>
      </c>
      <c r="L6" s="100"/>
      <c r="M6" s="101">
        <v>1</v>
      </c>
      <c r="N6" s="90"/>
      <c r="O6" s="90"/>
      <c r="P6" s="294"/>
      <c r="Q6" s="188"/>
      <c r="R6" s="443" t="s">
        <v>76</v>
      </c>
      <c r="S6" s="443"/>
      <c r="T6" s="443"/>
      <c r="U6" s="441"/>
      <c r="V6" s="443" t="s">
        <v>77</v>
      </c>
      <c r="W6" s="443"/>
      <c r="X6" s="443"/>
    </row>
    <row r="7" spans="2:24" ht="18" customHeight="1" thickBot="1">
      <c r="B7" s="114"/>
      <c r="C7" s="114"/>
      <c r="D7" s="71"/>
      <c r="E7" s="71"/>
      <c r="F7" s="71"/>
      <c r="G7" s="100"/>
      <c r="H7" s="100"/>
      <c r="I7" s="100"/>
      <c r="J7" s="90"/>
      <c r="K7" s="99" t="s">
        <v>85</v>
      </c>
      <c r="L7" s="100"/>
      <c r="M7" s="250">
        <v>36</v>
      </c>
      <c r="N7" s="92" t="s">
        <v>81</v>
      </c>
      <c r="O7" s="90"/>
      <c r="P7" s="294"/>
      <c r="Q7" s="188"/>
      <c r="R7" s="444" t="s">
        <v>46</v>
      </c>
      <c r="S7" s="452"/>
      <c r="T7" s="452"/>
      <c r="U7" s="441"/>
      <c r="V7" s="444" t="s">
        <v>46</v>
      </c>
      <c r="W7" s="452">
        <f>IF(E12=2,IF(M6=1,W10,IF(M7=24,W11,W12)),0)</f>
        <v>0</v>
      </c>
      <c r="X7" s="452"/>
    </row>
    <row r="8" spans="2:24" ht="18" customHeight="1" thickBot="1">
      <c r="B8" s="294"/>
      <c r="C8" s="90"/>
      <c r="D8" s="87" t="s">
        <v>19</v>
      </c>
      <c r="E8" s="90"/>
      <c r="F8" s="91">
        <f>SUM(F9:F11)</f>
        <v>840000</v>
      </c>
      <c r="G8" s="92" t="str">
        <f>IF($M$6=1,"руб.",IF($M$6=2,"$","евро"))</f>
        <v>руб.</v>
      </c>
      <c r="H8" s="90"/>
      <c r="I8" s="90"/>
      <c r="J8" s="90"/>
      <c r="K8" s="87" t="s">
        <v>20</v>
      </c>
      <c r="L8" s="87"/>
      <c r="M8" s="100"/>
      <c r="N8" s="100"/>
      <c r="O8" s="115"/>
      <c r="P8" s="115"/>
      <c r="Q8" s="188"/>
      <c r="R8" s="446" t="s">
        <v>47</v>
      </c>
      <c r="S8" s="536" t="e">
        <f>(F9+F10+F11-M10)/0.97*'Условия программ'!#REF!</f>
        <v>#REF!</v>
      </c>
      <c r="T8" s="454"/>
      <c r="U8" s="441"/>
      <c r="V8" s="446" t="s">
        <v>47</v>
      </c>
      <c r="W8" s="536" t="e">
        <f>(F9+F10+F11-M10)/0.95*'Условия программ'!#REF!</f>
        <v>#REF!</v>
      </c>
      <c r="X8" s="454"/>
    </row>
    <row r="9" spans="2:24" ht="18" customHeight="1" thickBot="1">
      <c r="B9" s="114"/>
      <c r="C9" s="295"/>
      <c r="D9" s="93" t="s">
        <v>11</v>
      </c>
      <c r="E9" s="90"/>
      <c r="F9" s="94">
        <v>780000</v>
      </c>
      <c r="G9" s="92" t="str">
        <f>IF($M$6=1,"руб.",IF($M$6=2,"$","евро"))</f>
        <v>руб.</v>
      </c>
      <c r="H9" s="90"/>
      <c r="I9" s="90"/>
      <c r="J9" s="293"/>
      <c r="K9" s="102" t="s">
        <v>17</v>
      </c>
      <c r="L9" s="103">
        <f>IF($F$6=1,'Условия программ'!E25,'Условия программ'!K25)</f>
        <v>0.05</v>
      </c>
      <c r="M9" s="97">
        <f>F8*L9</f>
        <v>42000</v>
      </c>
      <c r="N9" s="92" t="str">
        <f>IF($M$6=1,"руб.",IF($M$6=2,"$","евро"))</f>
        <v>руб.</v>
      </c>
      <c r="O9" s="293"/>
      <c r="P9" s="294"/>
      <c r="Q9" s="188"/>
      <c r="R9" s="446"/>
      <c r="S9" s="536"/>
      <c r="T9" s="454"/>
      <c r="U9" s="453"/>
      <c r="V9" s="446"/>
      <c r="W9" s="536"/>
      <c r="X9" s="454"/>
    </row>
    <row r="10" spans="2:24" ht="18" customHeight="1" thickBot="1">
      <c r="B10" s="294"/>
      <c r="C10" s="90"/>
      <c r="D10" s="95" t="s">
        <v>56</v>
      </c>
      <c r="E10" s="96">
        <f>F10/F9</f>
        <v>0</v>
      </c>
      <c r="F10" s="94">
        <v>0</v>
      </c>
      <c r="G10" s="92" t="str">
        <f>IF($M$6=1,"руб.",IF($M$6=2,"$","евро"))</f>
        <v>руб.</v>
      </c>
      <c r="H10" s="90"/>
      <c r="I10" s="90"/>
      <c r="J10" s="293"/>
      <c r="K10" s="104" t="s">
        <v>18</v>
      </c>
      <c r="L10" s="105">
        <f>ROUND(M10/F8,4)</f>
        <v>0.5952</v>
      </c>
      <c r="M10" s="184">
        <v>500000</v>
      </c>
      <c r="N10" s="92" t="str">
        <f>IF($M$6=1,"руб.",IF($M$6=2,"$","евро"))</f>
        <v>руб.</v>
      </c>
      <c r="O10" s="293"/>
      <c r="P10" s="294"/>
      <c r="Q10" s="188"/>
      <c r="R10" s="446" t="s">
        <v>45</v>
      </c>
      <c r="S10" s="537" t="e">
        <f>IF(S8&lt;='Условия программ'!#REF!,'Условия программ'!#REF!,S8)</f>
        <v>#REF!</v>
      </c>
      <c r="T10" s="454" t="s">
        <v>48</v>
      </c>
      <c r="U10" s="443"/>
      <c r="V10" s="446" t="s">
        <v>45</v>
      </c>
      <c r="W10" s="537" t="e">
        <f>IF(W8&lt;='Условия программ'!#REF!,'Условия программ'!#REF!,W8)</f>
        <v>#REF!</v>
      </c>
      <c r="X10" s="454" t="s">
        <v>48</v>
      </c>
    </row>
    <row r="11" spans="2:24" ht="18" customHeight="1" thickBot="1">
      <c r="B11" s="114"/>
      <c r="C11" s="295"/>
      <c r="D11" s="529">
        <v>1</v>
      </c>
      <c r="E11" s="96">
        <f>F11/(F9+F10)</f>
        <v>0.07692307692307693</v>
      </c>
      <c r="F11" s="94">
        <v>60000</v>
      </c>
      <c r="G11" s="245" t="str">
        <f>IF($M$6=1,"руб.",IF($M$6=2,"$","евро"))</f>
        <v>руб.</v>
      </c>
      <c r="H11" s="90"/>
      <c r="I11" s="90"/>
      <c r="J11" s="293"/>
      <c r="K11" s="770" t="s">
        <v>70</v>
      </c>
      <c r="L11" s="770"/>
      <c r="M11" s="526" t="s">
        <v>40</v>
      </c>
      <c r="N11" s="106"/>
      <c r="O11" s="293"/>
      <c r="P11" s="294"/>
      <c r="Q11" s="188"/>
      <c r="R11" s="446" t="s">
        <v>45</v>
      </c>
      <c r="S11" s="453" t="e">
        <f>IF(S8&lt;='Условия программ'!#REF!,'Условия программ'!#REF!,S8)</f>
        <v>#REF!</v>
      </c>
      <c r="T11" s="454" t="s">
        <v>49</v>
      </c>
      <c r="U11" s="443"/>
      <c r="V11" s="446" t="s">
        <v>45</v>
      </c>
      <c r="W11" s="453" t="e">
        <f>IF(W8&lt;='Условия программ'!#REF!,'Условия программ'!#REF!,W8)</f>
        <v>#REF!</v>
      </c>
      <c r="X11" s="454" t="s">
        <v>49</v>
      </c>
    </row>
    <row r="12" spans="2:24" ht="9" customHeight="1" thickBot="1">
      <c r="B12" s="123"/>
      <c r="C12" s="296"/>
      <c r="D12" s="141"/>
      <c r="E12" s="246"/>
      <c r="F12" s="297"/>
      <c r="G12" s="298"/>
      <c r="H12" s="90"/>
      <c r="I12" s="90"/>
      <c r="J12" s="90"/>
      <c r="K12" s="330"/>
      <c r="L12" s="330"/>
      <c r="M12" s="106"/>
      <c r="N12" s="106"/>
      <c r="O12" s="90"/>
      <c r="P12" s="294"/>
      <c r="Q12" s="188"/>
      <c r="R12" s="450" t="s">
        <v>45</v>
      </c>
      <c r="S12" s="455" t="e">
        <f>IF(S8&lt;='Условия программ'!#REF!,'Условия программ'!#REF!,S8)</f>
        <v>#REF!</v>
      </c>
      <c r="T12" s="456" t="s">
        <v>36</v>
      </c>
      <c r="U12" s="443"/>
      <c r="V12" s="450" t="s">
        <v>45</v>
      </c>
      <c r="W12" s="455" t="e">
        <f>IF(W8&lt;='Условия программ'!#REF!,'Условия программ'!#REF!,W8)</f>
        <v>#REF!</v>
      </c>
      <c r="X12" s="456" t="s">
        <v>36</v>
      </c>
    </row>
    <row r="13" spans="2:21" ht="9" customHeight="1" thickBot="1">
      <c r="B13" s="123"/>
      <c r="C13" s="554"/>
      <c r="D13" s="555"/>
      <c r="E13" s="112"/>
      <c r="F13" s="90"/>
      <c r="G13" s="112"/>
      <c r="H13" s="112"/>
      <c r="I13" s="112"/>
      <c r="J13" s="112"/>
      <c r="K13" s="112"/>
      <c r="L13" s="112"/>
      <c r="M13" s="112"/>
      <c r="N13" s="112"/>
      <c r="O13" s="112"/>
      <c r="P13" s="115"/>
      <c r="Q13" s="188"/>
      <c r="R13" s="195" t="s">
        <v>51</v>
      </c>
      <c r="S13" s="196" t="s">
        <v>79</v>
      </c>
      <c r="T13" s="195" t="s">
        <v>51</v>
      </c>
      <c r="U13" s="196" t="s">
        <v>80</v>
      </c>
    </row>
    <row r="14" spans="2:21" ht="25.5" customHeight="1" thickBot="1">
      <c r="B14" s="123"/>
      <c r="C14" s="794" t="s">
        <v>112</v>
      </c>
      <c r="D14" s="795"/>
      <c r="E14" s="795"/>
      <c r="F14" s="795"/>
      <c r="G14" s="795"/>
      <c r="H14" s="796"/>
      <c r="I14" s="90"/>
      <c r="J14" s="794" t="s">
        <v>111</v>
      </c>
      <c r="K14" s="795"/>
      <c r="L14" s="795"/>
      <c r="M14" s="795"/>
      <c r="N14" s="795"/>
      <c r="O14" s="796"/>
      <c r="P14" s="115"/>
      <c r="Q14" s="188"/>
      <c r="R14" s="538">
        <f>IF(D11=1,'Условия программ'!D27,'Условия программ'!E27)</f>
        <v>0.139</v>
      </c>
      <c r="S14" s="201" t="s">
        <v>48</v>
      </c>
      <c r="T14" s="538">
        <f>IF(D11=1,IF(M6=1,'Условия программ'!J27,'Условия программ'!J34),IF(M6=1,'Условия программ'!K27,'Условия программ'!K34))</f>
        <v>0.159</v>
      </c>
      <c r="U14" s="201"/>
    </row>
    <row r="15" spans="2:21" ht="18" customHeight="1" thickBot="1">
      <c r="B15" s="556"/>
      <c r="C15" s="292"/>
      <c r="D15" s="331" t="s">
        <v>110</v>
      </c>
      <c r="E15" s="108"/>
      <c r="F15" s="186">
        <f>IF($F$6=1,IF($M$6=1,R14,R15),T14)</f>
        <v>0.139</v>
      </c>
      <c r="G15" s="90"/>
      <c r="H15" s="90"/>
      <c r="I15" s="570"/>
      <c r="J15" s="292"/>
      <c r="K15" s="331" t="s">
        <v>110</v>
      </c>
      <c r="L15" s="108"/>
      <c r="M15" s="186">
        <f>IF($F$6=1,IF($M$6=1,S46,S47),U46)</f>
        <v>0.119</v>
      </c>
      <c r="N15" s="90"/>
      <c r="O15" s="90"/>
      <c r="P15" s="576"/>
      <c r="Q15" s="188"/>
      <c r="R15" s="539">
        <f>IF(D11=1,'Условия программ'!D34,'Условия программ'!E34)</f>
        <v>0.129</v>
      </c>
      <c r="S15" s="202" t="s">
        <v>52</v>
      </c>
      <c r="T15" s="539"/>
      <c r="U15" s="202"/>
    </row>
    <row r="16" spans="2:24" ht="9" customHeight="1" thickBot="1">
      <c r="B16" s="556"/>
      <c r="C16" s="292"/>
      <c r="D16" s="90"/>
      <c r="E16" s="90"/>
      <c r="F16" s="309"/>
      <c r="G16" s="90"/>
      <c r="H16" s="90"/>
      <c r="I16" s="571"/>
      <c r="J16" s="364"/>
      <c r="K16" s="90"/>
      <c r="L16" s="90"/>
      <c r="M16" s="309"/>
      <c r="N16" s="90"/>
      <c r="O16" s="90"/>
      <c r="P16" s="576"/>
      <c r="Q16" s="188"/>
      <c r="R16" s="444" t="s">
        <v>59</v>
      </c>
      <c r="S16" s="452"/>
      <c r="T16" s="445"/>
      <c r="V16" s="444" t="s">
        <v>59</v>
      </c>
      <c r="W16" s="452">
        <f>IF(E12=1,IF(M6=1,W18,IF(M6=2,W19,W20)),0)</f>
        <v>0</v>
      </c>
      <c r="X16" s="445"/>
    </row>
    <row r="17" spans="2:24" ht="18" customHeight="1" thickBot="1">
      <c r="B17" s="556"/>
      <c r="C17" s="292"/>
      <c r="D17" s="491" t="s">
        <v>43</v>
      </c>
      <c r="E17" s="90"/>
      <c r="F17" s="311">
        <f>F8-M10</f>
        <v>340000</v>
      </c>
      <c r="G17" s="87" t="str">
        <f>IF($M$6=1,"руб.",IF($M$6=2,"$","евро"))</f>
        <v>руб.</v>
      </c>
      <c r="H17" s="362"/>
      <c r="I17" s="90"/>
      <c r="J17" s="364"/>
      <c r="K17" s="304" t="s">
        <v>131</v>
      </c>
      <c r="L17" s="90"/>
      <c r="M17" s="311">
        <f>F8-M10</f>
        <v>340000</v>
      </c>
      <c r="N17" s="87" t="str">
        <f>IF($M$6=1,"руб.",IF($M$6=2,"$","евро"))</f>
        <v>руб.</v>
      </c>
      <c r="O17" s="362"/>
      <c r="P17" s="115"/>
      <c r="Q17" s="188"/>
      <c r="R17" s="446" t="s">
        <v>47</v>
      </c>
      <c r="S17" s="453" t="e">
        <f>F17*'Условия программ'!#REF!</f>
        <v>#REF!</v>
      </c>
      <c r="T17" s="454"/>
      <c r="V17" s="446" t="s">
        <v>47</v>
      </c>
      <c r="W17" s="453" t="e">
        <f>F17*'Условия программ'!#REF!</f>
        <v>#REF!</v>
      </c>
      <c r="X17" s="454"/>
    </row>
    <row r="18" spans="2:24" ht="9" customHeight="1" thickBot="1">
      <c r="B18" s="123"/>
      <c r="C18" s="364"/>
      <c r="D18" s="305"/>
      <c r="E18" s="100"/>
      <c r="F18" s="312"/>
      <c r="G18" s="90"/>
      <c r="H18" s="90"/>
      <c r="I18" s="571"/>
      <c r="J18" s="364"/>
      <c r="K18" s="305"/>
      <c r="L18" s="100"/>
      <c r="M18" s="533"/>
      <c r="N18" s="90"/>
      <c r="O18" s="362"/>
      <c r="P18" s="115"/>
      <c r="Q18" s="188"/>
      <c r="R18" s="446" t="s">
        <v>45</v>
      </c>
      <c r="S18" s="453" t="e">
        <f>IF(S17&lt;='Условия программ'!#REF!,'Условия программ'!#REF!,S17)</f>
        <v>#REF!</v>
      </c>
      <c r="T18" s="454" t="s">
        <v>60</v>
      </c>
      <c r="V18" s="446" t="s">
        <v>45</v>
      </c>
      <c r="W18" s="453" t="e">
        <f>IF(W17&lt;='Условия программ'!#REF!,'Условия программ'!#REF!,W17)</f>
        <v>#REF!</v>
      </c>
      <c r="X18" s="454" t="s">
        <v>60</v>
      </c>
    </row>
    <row r="19" spans="2:24" ht="18" customHeight="1" thickBot="1">
      <c r="B19" s="556"/>
      <c r="C19" s="292"/>
      <c r="D19" s="784" t="s">
        <v>103</v>
      </c>
      <c r="E19" s="784"/>
      <c r="F19" s="313" t="s">
        <v>29</v>
      </c>
      <c r="G19" s="326" t="str">
        <f>IF($M$6=1,"руб.",IF($M$6=2,"$","евро"))</f>
        <v>руб.</v>
      </c>
      <c r="H19" s="90"/>
      <c r="I19" s="571"/>
      <c r="J19" s="364"/>
      <c r="K19" s="784" t="s">
        <v>103</v>
      </c>
      <c r="L19" s="784"/>
      <c r="M19" s="311">
        <f>M21-M17</f>
        <v>20551.43160127249</v>
      </c>
      <c r="N19" s="87" t="str">
        <f>IF($M$6=1,"руб.",IF($M$6=2,"$","евро"))</f>
        <v>руб.</v>
      </c>
      <c r="O19" s="90"/>
      <c r="P19" s="576"/>
      <c r="Q19" s="188"/>
      <c r="R19" s="446" t="s">
        <v>45</v>
      </c>
      <c r="S19" s="453" t="e">
        <f>IF(S17&lt;='Условия программ'!#REF!,'Условия программ'!#REF!,S17)</f>
        <v>#REF!</v>
      </c>
      <c r="T19" s="454" t="s">
        <v>49</v>
      </c>
      <c r="V19" s="446" t="s">
        <v>45</v>
      </c>
      <c r="W19" s="453" t="e">
        <f>IF(W17&lt;='Условия программ'!#REF!,'Условия программ'!#REF!,W17)</f>
        <v>#REF!</v>
      </c>
      <c r="X19" s="454" t="s">
        <v>49</v>
      </c>
    </row>
    <row r="20" spans="2:24" ht="9" customHeight="1" thickBot="1">
      <c r="B20" s="556"/>
      <c r="C20" s="292"/>
      <c r="D20" s="306"/>
      <c r="E20" s="306"/>
      <c r="F20" s="314"/>
      <c r="G20" s="99"/>
      <c r="H20" s="362"/>
      <c r="I20" s="570"/>
      <c r="J20" s="292"/>
      <c r="K20" s="306"/>
      <c r="L20" s="306"/>
      <c r="M20" s="534"/>
      <c r="N20" s="99"/>
      <c r="O20" s="90"/>
      <c r="P20" s="576"/>
      <c r="Q20" s="188"/>
      <c r="R20" s="450" t="s">
        <v>45</v>
      </c>
      <c r="S20" s="455" t="e">
        <f>IF(S17&lt;='Условия программ'!#REF!,'Условия программ'!#REF!,S17)</f>
        <v>#REF!</v>
      </c>
      <c r="T20" s="456" t="s">
        <v>36</v>
      </c>
      <c r="V20" s="450" t="s">
        <v>45</v>
      </c>
      <c r="W20" s="455" t="e">
        <f>IF(W17&lt;='Условия программ'!#REF!,'Условия программ'!#REF!,W17)</f>
        <v>#REF!</v>
      </c>
      <c r="X20" s="456" t="s">
        <v>36</v>
      </c>
    </row>
    <row r="21" spans="2:17" ht="18" customHeight="1" thickBot="1">
      <c r="B21" s="123"/>
      <c r="C21" s="364"/>
      <c r="D21" s="304" t="s">
        <v>104</v>
      </c>
      <c r="E21" s="88"/>
      <c r="F21" s="311">
        <f>F17</f>
        <v>340000</v>
      </c>
      <c r="G21" s="87" t="str">
        <f>G17</f>
        <v>руб.</v>
      </c>
      <c r="H21" s="100"/>
      <c r="I21" s="575"/>
      <c r="J21" s="364"/>
      <c r="K21" s="491" t="s">
        <v>104</v>
      </c>
      <c r="L21" s="88"/>
      <c r="M21" s="311">
        <f>M17/(1-'Условия программ'!S108*M7/12)</f>
        <v>360551.4316012725</v>
      </c>
      <c r="N21" s="87" t="str">
        <f>N17</f>
        <v>руб.</v>
      </c>
      <c r="O21" s="90"/>
      <c r="P21" s="576"/>
      <c r="Q21" s="188"/>
    </row>
    <row r="22" spans="2:22" ht="9" customHeight="1" thickBot="1">
      <c r="B22" s="123"/>
      <c r="C22" s="364"/>
      <c r="D22" s="99"/>
      <c r="E22" s="99"/>
      <c r="F22" s="315"/>
      <c r="G22" s="99"/>
      <c r="H22" s="100"/>
      <c r="I22" s="575"/>
      <c r="J22" s="364"/>
      <c r="K22" s="99"/>
      <c r="L22" s="99"/>
      <c r="M22" s="315"/>
      <c r="N22" s="99"/>
      <c r="O22" s="140"/>
      <c r="P22" s="576"/>
      <c r="Q22" s="188"/>
      <c r="R22" s="195" t="s">
        <v>62</v>
      </c>
      <c r="S22" s="199"/>
      <c r="T22" s="196"/>
      <c r="V22" s="540"/>
    </row>
    <row r="23" spans="2:20" ht="18" customHeight="1" thickBot="1">
      <c r="B23" s="556"/>
      <c r="C23" s="292"/>
      <c r="D23" s="304" t="s">
        <v>106</v>
      </c>
      <c r="E23" s="316"/>
      <c r="F23" s="577" t="s">
        <v>93</v>
      </c>
      <c r="G23" s="143"/>
      <c r="H23" s="559"/>
      <c r="I23" s="574"/>
      <c r="J23" s="292"/>
      <c r="K23" s="304" t="s">
        <v>106</v>
      </c>
      <c r="L23" s="316"/>
      <c r="M23" s="361" t="s">
        <v>93</v>
      </c>
      <c r="N23" s="143"/>
      <c r="O23" s="140"/>
      <c r="P23" s="576"/>
      <c r="Q23" s="188"/>
      <c r="R23" s="193">
        <f>IF($F$6=2,IF($M$7&lt;12,"Необходимо увеличить срок кредита. Минимальный срок кредитования - 12 месяцев",IF($M$7&gt;36,"Необходимо уменьшить срок кредита. Максимальный срок кредитования подержанных автомобилей - 36 месяцев",IF($E$10&gt;10%,"Стоимость дополнительного оборудования должна быть не более 10% от стоимости автомобиля",IF($L$10&lt;$L$9,"Необходимо увеличить размер первоначального взноса до необходимого минимума - 20% от совокупной стоимости автомобиля",IF($L$10&gt;70%,"Необходимо уменьшить размер первоначального взноса. Максимальный размер - 70% от совокупной стоимости автомобиля",$R$25))))),$R$24)</f>
      </c>
      <c r="S23" s="200"/>
      <c r="T23" s="201"/>
    </row>
    <row r="24" spans="2:20" ht="9" customHeight="1" thickBot="1">
      <c r="B24" s="556"/>
      <c r="C24" s="292"/>
      <c r="D24" s="88"/>
      <c r="E24" s="99"/>
      <c r="F24" s="143"/>
      <c r="G24" s="99"/>
      <c r="H24" s="560"/>
      <c r="I24" s="106"/>
      <c r="J24" s="364"/>
      <c r="K24" s="143"/>
      <c r="L24" s="99"/>
      <c r="M24" s="143"/>
      <c r="N24" s="139"/>
      <c r="O24" s="141"/>
      <c r="P24" s="576"/>
      <c r="Q24" s="188"/>
      <c r="R24" s="193">
        <f>IF($E$10&gt;10%,"Стоимость дополнительного оборудования должна быть не более 10% от стоимости автомобиля",IF($M$7&lt;12,"Необходимо увеличить срок кредита. Минимальный срок кредитования - 12 месяцев",IF($M$7&gt;84,"Необходимо уменьшить срок кредита. Максимальный срок кредитования - 84 месяцев",IF($L$10&lt;$L$9,"Необходимо увеличить размер первоначального взноса до нобходимого минимума - 5% от совокупной стоимости автомобиля",IF($L$10&gt;70%,"Необходимо уменьшить размер первоначального взноса. Максимальный размер - 70% от совокупной стоимости автомобиля",$R$25)))))</f>
      </c>
      <c r="S24" s="200"/>
      <c r="T24" s="201"/>
    </row>
    <row r="25" spans="2:20" ht="18" customHeight="1" thickBot="1">
      <c r="B25" s="123"/>
      <c r="C25" s="364"/>
      <c r="D25" s="308" t="s">
        <v>105</v>
      </c>
      <c r="E25" s="99"/>
      <c r="F25" s="311">
        <f>($F$17*($F$15/12))/(1-(1+$F$15/12)^(-$M$7))</f>
        <v>11603.887469448098</v>
      </c>
      <c r="G25" s="307" t="str">
        <f>IF($M$6=1,"руб.",IF($M$6=2,"$","евро"))</f>
        <v>руб.</v>
      </c>
      <c r="H25" s="560"/>
      <c r="I25" s="573"/>
      <c r="J25" s="292"/>
      <c r="K25" s="308" t="s">
        <v>105</v>
      </c>
      <c r="L25" s="99"/>
      <c r="M25" s="311">
        <f>($M$21*($M$15/12))/(1-(1+$M$15/12)^(-$M$7))</f>
        <v>11958.253606791772</v>
      </c>
      <c r="N25" s="307" t="str">
        <f>IF($M$6=1,"руб.",IF($M$6=2,"$","евро"))</f>
        <v>руб.</v>
      </c>
      <c r="O25" s="141"/>
      <c r="P25" s="576"/>
      <c r="Q25" s="188"/>
      <c r="R25" s="193">
        <f>IF(M6=1,S26,IF(M6=2,S27,S28))</f>
      </c>
      <c r="T25" s="201"/>
    </row>
    <row r="26" spans="2:20" ht="9" customHeight="1" thickBot="1">
      <c r="B26" s="556"/>
      <c r="C26" s="292"/>
      <c r="D26" s="143"/>
      <c r="E26" s="99"/>
      <c r="F26" s="532"/>
      <c r="G26" s="99"/>
      <c r="H26" s="362"/>
      <c r="I26" s="570"/>
      <c r="J26" s="292"/>
      <c r="K26" s="99"/>
      <c r="L26" s="99"/>
      <c r="M26" s="532"/>
      <c r="N26" s="99"/>
      <c r="O26" s="208"/>
      <c r="P26" s="115"/>
      <c r="Q26" s="188"/>
      <c r="R26" s="193" t="s">
        <v>63</v>
      </c>
      <c r="S26" s="200">
        <f>IF(F17&lt;'Условия программ'!L37,"Сумма кредита должна быть не менее 50 000 рублей","")</f>
      </c>
      <c r="T26" s="201" t="s">
        <v>48</v>
      </c>
    </row>
    <row r="27" spans="2:20" ht="18" customHeight="1" thickBot="1">
      <c r="B27" s="556"/>
      <c r="C27" s="292"/>
      <c r="D27" s="304" t="s">
        <v>107</v>
      </c>
      <c r="E27" s="99"/>
      <c r="F27" s="318">
        <f>F25*M7-F17</f>
        <v>77739.94890013151</v>
      </c>
      <c r="G27" s="310" t="str">
        <f>IF($M$6=1,"руб.",IF($M$6=2,"$","евро"))</f>
        <v>руб.</v>
      </c>
      <c r="H27" s="362"/>
      <c r="I27" s="570"/>
      <c r="J27" s="292"/>
      <c r="K27" s="304" t="s">
        <v>107</v>
      </c>
      <c r="L27" s="99"/>
      <c r="M27" s="318">
        <f>M25*M7-M21</f>
        <v>69945.69824323128</v>
      </c>
      <c r="N27" s="310" t="str">
        <f>IF($M$6=1,"руб.",IF($M$6=2,"$","евро"))</f>
        <v>руб.</v>
      </c>
      <c r="O27" s="208"/>
      <c r="P27" s="115"/>
      <c r="R27" s="193" t="s">
        <v>63</v>
      </c>
      <c r="S27" s="200">
        <f>IF(F17&lt;'Условия программ'!L38,"Сумма кредита должна быть не менее 1 500 долларов США","")</f>
      </c>
      <c r="T27" s="201" t="s">
        <v>49</v>
      </c>
    </row>
    <row r="28" spans="2:20" ht="9" customHeight="1">
      <c r="B28" s="556"/>
      <c r="C28" s="292"/>
      <c r="D28" s="304"/>
      <c r="E28" s="99"/>
      <c r="F28" s="323"/>
      <c r="G28" s="307"/>
      <c r="H28" s="90"/>
      <c r="I28" s="570"/>
      <c r="J28" s="292"/>
      <c r="K28" s="304"/>
      <c r="L28" s="99"/>
      <c r="M28" s="323"/>
      <c r="N28" s="307"/>
      <c r="O28" s="290"/>
      <c r="P28" s="576"/>
      <c r="R28" s="198" t="s">
        <v>63</v>
      </c>
      <c r="S28" s="541">
        <f>IF(F17&lt;'Условия программ'!L39,"Сумма кредита должна быть не менее 1 350 евро","")</f>
      </c>
      <c r="T28" s="202" t="s">
        <v>36</v>
      </c>
    </row>
    <row r="29" spans="1:66" s="520" customFormat="1" ht="14.25" customHeight="1" thickBot="1">
      <c r="A29" s="501"/>
      <c r="B29" s="513"/>
      <c r="C29" s="494"/>
      <c r="D29" s="785" t="s">
        <v>44</v>
      </c>
      <c r="E29" s="785"/>
      <c r="F29" s="785"/>
      <c r="G29" s="785"/>
      <c r="H29" s="516"/>
      <c r="I29" s="572"/>
      <c r="J29" s="494"/>
      <c r="K29" s="786" t="s">
        <v>44</v>
      </c>
      <c r="L29" s="786"/>
      <c r="M29" s="786"/>
      <c r="N29" s="786"/>
      <c r="O29" s="497"/>
      <c r="P29" s="521"/>
      <c r="Q29" s="499"/>
      <c r="R29" s="500" t="s">
        <v>116</v>
      </c>
      <c r="S29" s="501"/>
      <c r="T29" s="501"/>
      <c r="U29" s="501"/>
      <c r="V29" s="501"/>
      <c r="W29" s="501"/>
      <c r="X29" s="501"/>
      <c r="Y29" s="501"/>
      <c r="Z29" s="501"/>
      <c r="AA29" s="501"/>
      <c r="AB29" s="501"/>
      <c r="AC29" s="501"/>
      <c r="AD29" s="501"/>
      <c r="AE29" s="501"/>
      <c r="AF29" s="501"/>
      <c r="AG29" s="501"/>
      <c r="AH29" s="501"/>
      <c r="AI29" s="501"/>
      <c r="AJ29" s="501"/>
      <c r="AK29" s="501"/>
      <c r="AL29" s="501"/>
      <c r="AM29" s="501"/>
      <c r="AN29" s="501"/>
      <c r="AO29" s="501"/>
      <c r="AP29" s="501"/>
      <c r="AQ29" s="501"/>
      <c r="AR29" s="501"/>
      <c r="AS29" s="501"/>
      <c r="AT29" s="501"/>
      <c r="AU29" s="501"/>
      <c r="AV29" s="501"/>
      <c r="AW29" s="501"/>
      <c r="AX29" s="501"/>
      <c r="AY29" s="501"/>
      <c r="AZ29" s="501"/>
      <c r="BA29" s="501"/>
      <c r="BB29" s="501"/>
      <c r="BC29" s="501"/>
      <c r="BD29" s="501"/>
      <c r="BE29" s="501"/>
      <c r="BF29" s="501"/>
      <c r="BG29" s="501"/>
      <c r="BH29" s="501"/>
      <c r="BI29" s="501"/>
      <c r="BJ29" s="501"/>
      <c r="BK29" s="501"/>
      <c r="BL29" s="501"/>
      <c r="BM29" s="501"/>
      <c r="BN29" s="501"/>
    </row>
    <row r="30" spans="2:20" ht="18" customHeight="1">
      <c r="B30" s="123"/>
      <c r="C30" s="566"/>
      <c r="D30" s="774">
        <f>IF($D$11=2,IF($F$11&lt;1000,"Необходимо увеличить сумму страхового взноса",IF($M$7&lt;24,"Необходимо увеличить срок кредита. Включение в сумму кредита страхового взноса за весь срок кредитования возможно при сроке кредита 24 месяца и более",R23)),R23)</f>
      </c>
      <c r="E30" s="775"/>
      <c r="F30" s="775"/>
      <c r="G30" s="776"/>
      <c r="H30" s="561"/>
      <c r="I30" s="567"/>
      <c r="J30" s="435"/>
      <c r="K30" s="774">
        <f>IF($D$11=2,IF($F$11=0,"Необходимо увеличить сумму страхового взноса",IF($M$7&lt;24,"Необходимо увеличить срок кредита. Включение в сумму кредита страхового взноса за весь срок кредитования возможно при сроке кредита 24 месяца и более",S31)),S31)</f>
      </c>
      <c r="L30" s="775"/>
      <c r="M30" s="775"/>
      <c r="N30" s="776"/>
      <c r="O30" s="324"/>
      <c r="P30" s="576"/>
      <c r="R30" s="195" t="s">
        <v>62</v>
      </c>
      <c r="S30" s="199"/>
      <c r="T30" s="196"/>
    </row>
    <row r="31" spans="2:20" ht="18" customHeight="1">
      <c r="B31" s="556"/>
      <c r="C31" s="565"/>
      <c r="D31" s="777"/>
      <c r="E31" s="778"/>
      <c r="F31" s="778"/>
      <c r="G31" s="779"/>
      <c r="H31" s="563"/>
      <c r="I31" s="569"/>
      <c r="J31" s="324"/>
      <c r="K31" s="777"/>
      <c r="L31" s="778"/>
      <c r="M31" s="778"/>
      <c r="N31" s="779"/>
      <c r="O31" s="324"/>
      <c r="P31" s="576"/>
      <c r="R31" s="193" t="s">
        <v>123</v>
      </c>
      <c r="S31" s="192">
        <f>IF($F$6=2,IF($M$7&lt;12,"Необходимо увеличить срок кредита. Минимальный срок кредитования - 12 месяцев",IF($M$7&gt;36,"Необходимо уменьшить срок кредита. Максимальный срок кредитования подержанных автомобилей - 36 месяцев",IF($E$10&gt;10%,"Стоимость дополнительного оборудования должна быть не более 10% от стоимости автомобиля",IF($L$10&lt;'Условия программ'!X25,"Необходимо увеличить размер первоначального взноса до необходимого минимума - 30% от совокупной стоимости автомобиля",IF($L$10&gt;70%,"Необходимо уменьшить размер первоначального взноса. Максимальный размер - 70% от совокупной стоимости автомобиля",S40))))),S32)</f>
      </c>
      <c r="T31" s="201"/>
    </row>
    <row r="32" spans="2:20" ht="18" customHeight="1">
      <c r="B32" s="556"/>
      <c r="C32" s="565"/>
      <c r="D32" s="777"/>
      <c r="E32" s="778"/>
      <c r="F32" s="778"/>
      <c r="G32" s="779"/>
      <c r="H32" s="561"/>
      <c r="I32" s="567"/>
      <c r="J32" s="435"/>
      <c r="K32" s="777"/>
      <c r="L32" s="778"/>
      <c r="M32" s="778"/>
      <c r="N32" s="779"/>
      <c r="O32" s="324"/>
      <c r="P32" s="576"/>
      <c r="R32" s="193" t="s">
        <v>79</v>
      </c>
      <c r="S32" s="192">
        <f>IF($E$10&gt;10%,"Стоимость дополнительного оборудования должна быть не более 10% от стоимости автомобиля",IF($M$7&lt;12,"Необходимо увеличить срок кредита. Минимальный срок кредитования - 12 месяцев",IF($M$7&gt;84,"Необходимо уменьшить срок кредита. Максимальный срок кредитования - 84 месяцев",IF($L$10&lt;'Условия программ'!R25,"Необходимо увеличить размер первоначального взноса до необходимого минимума - 30% от совокупной стоимости автомобиля",IF($L$10&gt;70%,"Необходимо уменьшить размер первоначального взноса. Максимальный размер - 70% от совокупной стоимости автомобиля",S40)))))</f>
      </c>
      <c r="T32" s="201"/>
    </row>
    <row r="33" spans="2:20" ht="18" customHeight="1" thickBot="1">
      <c r="B33" s="123"/>
      <c r="C33" s="435"/>
      <c r="D33" s="780"/>
      <c r="E33" s="781"/>
      <c r="F33" s="781"/>
      <c r="G33" s="782"/>
      <c r="H33" s="561"/>
      <c r="I33" s="567"/>
      <c r="J33" s="435"/>
      <c r="K33" s="780"/>
      <c r="L33" s="781"/>
      <c r="M33" s="781"/>
      <c r="N33" s="782"/>
      <c r="O33" s="324"/>
      <c r="P33" s="576"/>
      <c r="R33" s="446"/>
      <c r="S33" s="542"/>
      <c r="T33" s="542"/>
    </row>
    <row r="34" spans="2:20" ht="9" customHeight="1" thickBot="1">
      <c r="B34" s="123"/>
      <c r="C34" s="564"/>
      <c r="D34" s="438"/>
      <c r="E34" s="438"/>
      <c r="F34" s="438"/>
      <c r="G34" s="438"/>
      <c r="H34" s="562"/>
      <c r="I34" s="569"/>
      <c r="J34" s="568"/>
      <c r="K34" s="438"/>
      <c r="L34" s="438"/>
      <c r="M34" s="438"/>
      <c r="N34" s="438"/>
      <c r="O34" s="568"/>
      <c r="P34" s="576"/>
      <c r="R34" s="543"/>
      <c r="S34" s="441"/>
      <c r="T34" s="443"/>
    </row>
    <row r="35" spans="2:20" ht="9" customHeight="1" thickBot="1">
      <c r="B35" s="133"/>
      <c r="C35" s="557"/>
      <c r="D35" s="134"/>
      <c r="E35" s="134"/>
      <c r="F35" s="134"/>
      <c r="G35" s="135"/>
      <c r="H35" s="558"/>
      <c r="I35" s="135"/>
      <c r="J35" s="135"/>
      <c r="K35" s="135"/>
      <c r="L35" s="135"/>
      <c r="M35" s="135"/>
      <c r="N35" s="135"/>
      <c r="O35" s="134"/>
      <c r="P35" s="136"/>
      <c r="Q35" s="443"/>
      <c r="R35" s="544"/>
      <c r="S35" s="441"/>
      <c r="T35" s="443"/>
    </row>
    <row r="36" spans="2:20" ht="18" customHeight="1">
      <c r="B36" s="552"/>
      <c r="C36" s="552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443"/>
      <c r="R36" s="446"/>
      <c r="S36" s="441"/>
      <c r="T36" s="443"/>
    </row>
    <row r="37" spans="2:19" ht="16.5" customHeight="1">
      <c r="B37" s="203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553"/>
      <c r="N37" s="188"/>
      <c r="O37" s="188"/>
      <c r="P37" s="188"/>
      <c r="Q37" s="443"/>
      <c r="R37" s="193"/>
      <c r="S37" s="192"/>
    </row>
    <row r="38" spans="2:19" ht="16.5" customHeight="1">
      <c r="B38" s="203" t="s">
        <v>84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443"/>
      <c r="R38" s="193"/>
      <c r="S38" s="192"/>
    </row>
    <row r="39" spans="2:19" ht="16.5" customHeight="1">
      <c r="B39" s="203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443"/>
      <c r="R39" s="198"/>
      <c r="S39" s="192"/>
    </row>
    <row r="40" spans="2:20" ht="15.75"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R40" s="193" t="s">
        <v>122</v>
      </c>
      <c r="S40" s="192">
        <f>IF($M$6=1,S41,IF($M$6=2,S42,S43))</f>
      </c>
      <c r="T40" s="201"/>
    </row>
    <row r="41" spans="2:20" ht="15.75"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R41" s="193" t="s">
        <v>82</v>
      </c>
      <c r="S41" s="192">
        <f>IF($M$17&lt;'Условия программ'!S37,"Сумма кредита (заявленная) должна быть не менее 100 000 рублей",IF($M$21&gt;'Условия программ'!Y37,"Итоговая сумма кредита должна быть не более 1 500 000 рублей",""))</f>
      </c>
      <c r="T41" s="192">
        <f>IF($M$17&lt;'Условия программ'!$S$17,"Сумма кредита (заявленная) должна быть не менее 100 000 рублей",IF($M$21&gt;'Условия программ'!$Y$17,"Итоговая сумма кредита должна быть не более 1 500 000 рублей",""))</f>
      </c>
    </row>
    <row r="42" spans="2:20" ht="15.75"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R42" s="193" t="s">
        <v>49</v>
      </c>
      <c r="S42" s="192" t="str">
        <f>IF($M$17&lt;'Условия программ'!S38,"Сумма кредита (заявленная) должна быть не менее 100 000 рублей (эквивалент суммы в долларах США по курсу ЦБ РФ)",IF($M$21&gt;'Условия программ'!Y38,"Итоговая сумма кредита должна быть не более 1 500 000 рублей (эквивалент суммы в долларах США по курсу ЦБ РФ)",""))</f>
        <v>Итоговая сумма кредита должна быть не более 1 500 000 рублей (эквивалент суммы в долларах США по курсу ЦБ РФ)</v>
      </c>
      <c r="T42" s="192" t="str">
        <f>IF($M$17&lt;'Условия программ'!$S$18,"Сумма кредита (заявленная) должна быть не менее 100 000 рублей (эквивалент суммы в долларах США по курсу ЦБ РФ)",IF($M$21&gt;'Условия программ'!$Y$18,"Итоговая сумма кредита должна быть не более 1500 000 рублей (эквивалент суммы в долларах США по курсу ЦБ РФ)",""))</f>
        <v>Итоговая сумма кредита должна быть не более 1500 000 рублей (эквивалент суммы в долларах США по курсу ЦБ РФ)</v>
      </c>
    </row>
    <row r="43" spans="2:20" ht="15.75"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R43" s="193" t="s">
        <v>36</v>
      </c>
      <c r="S43" s="545" t="str">
        <f>IF($M$17&lt;'Условия программ'!S39,"Сумма кредита (заявленная) должна быть не менее 100 000 рублей (эквивалент суммы в евро по курсу ЦБ РФ)",IF($M$21&gt;'Условия программ'!Y39,"Итоговая сумма кредита должна быть не более 1 500 000 рублей (эквивалент суммы в евро по курсу ЦБ РФ)",""))</f>
        <v>Итоговая сумма кредита должна быть не более 1 500 000 рублей (эквивалент суммы в евро по курсу ЦБ РФ)</v>
      </c>
      <c r="T43" s="545" t="str">
        <f>IF($M$17&lt;'Условия программ'!$S$19,"Сумма кредита (заявленная) должна быть не менее 100 000 рублей (эквивалент суммы в евро по курсу ЦБ РФ)",IF($M$21&gt;'Условия программ'!$Y$19,"Итоговая сумма кредита должна быть не более 1 500 000 рублей (эквивалент суммы в евро по курсу ЦБ РФ)",""))</f>
        <v>Итоговая сумма кредита должна быть не более 1 500 000 рублей (эквивалент суммы в евро по курсу ЦБ РФ)</v>
      </c>
    </row>
    <row r="44" spans="2:22" ht="15.75"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R44" s="546" t="s">
        <v>127</v>
      </c>
      <c r="S44" s="199"/>
      <c r="T44" s="199"/>
      <c r="U44" s="199"/>
      <c r="V44" s="196"/>
    </row>
    <row r="45" spans="2:22" ht="15.75"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R45" s="547" t="s">
        <v>79</v>
      </c>
      <c r="S45" s="548"/>
      <c r="T45" s="548" t="s">
        <v>80</v>
      </c>
      <c r="U45" s="200"/>
      <c r="V45" s="549"/>
    </row>
    <row r="46" spans="2:22" ht="15.75"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R46" s="193" t="s">
        <v>30</v>
      </c>
      <c r="S46" s="550">
        <f>IF(D11=1,'Условия программ'!Q27,'Условия программ'!R27)</f>
        <v>0.119</v>
      </c>
      <c r="T46" s="200" t="s">
        <v>129</v>
      </c>
      <c r="U46" s="550">
        <f>IF(D11=1,IF(M6=1,'Условия программ'!W27,'Условия программ'!W34),IF(M6=1,'Условия программ'!X27,'Условия программ'!X34))</f>
        <v>0.139</v>
      </c>
      <c r="V46" s="549"/>
    </row>
    <row r="47" spans="2:22" ht="15.75"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R47" s="193" t="s">
        <v>128</v>
      </c>
      <c r="S47" s="550">
        <f>IF(D11=1,'Условия программ'!Q34,'Условия программ'!R34)</f>
        <v>0.109</v>
      </c>
      <c r="T47" s="200"/>
      <c r="U47" s="200"/>
      <c r="V47" s="549"/>
    </row>
    <row r="48" spans="2:22" ht="15.75"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R48" s="198"/>
      <c r="S48" s="541"/>
      <c r="T48" s="541"/>
      <c r="U48" s="541"/>
      <c r="V48" s="551"/>
    </row>
    <row r="49" spans="2:18" ht="15.75"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</row>
    <row r="50" spans="2:17" ht="15.75"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2:17" ht="15.75"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2:17" ht="15.75"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2:17" ht="15.75"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2:17" ht="15.75"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2:17" ht="15.75"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2:17" ht="15.75"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2:17" ht="15.75"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2:17" ht="15.75"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2:17" ht="15.75"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2:17" ht="15.75"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2:17" ht="15.75"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2:17" ht="15.75"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2:17" ht="15.75"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2:17" ht="15.75"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2:17" ht="15.75"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2:17" ht="15.75"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2:17" ht="15.75"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2:17" ht="15.75"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2:17" ht="15.75"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2:17" ht="15.75"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2:17" ht="15.75"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2:17" ht="15.75"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2:17" ht="15.75"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2:17" ht="15.75"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2:17" ht="15.75"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2:17" ht="15.75"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2:17" ht="15.75"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2:17" ht="15.75"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2:17" ht="15.75"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2:17" ht="15.75"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2:17" ht="15.75"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2:17" ht="15.75"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2:17" ht="15.75"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2:17" ht="15.75"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2:17" ht="15.75"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2:17" ht="15.75"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2:17" ht="15.75"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2:17" ht="15.75"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2:17" ht="15.75"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2:17" ht="15.75"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2:17" ht="15.75"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2:17" ht="15.75"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2:17" ht="15.75"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2:17" ht="15.75"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2:17" ht="15.75"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2:17" ht="15.75"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2:17" ht="15.75"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2:17" ht="15.75"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2:17" ht="15.75"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7" ht="15.75"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7" ht="15.75"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2:17" ht="15.75"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2:17" ht="15.75"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2:17" ht="15.75"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2:17" ht="15.75"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2:17" ht="15.75"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2:17" ht="15.75"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2:17" ht="15.75"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2:17" ht="15.75"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2:17" ht="15.75"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2:17" ht="15.75"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2:17" ht="15.75"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2:17" ht="15.75"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2:17" ht="15.75"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2:17" ht="15.75"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2:17" ht="15.75"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2:17" ht="15.75"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2:17" ht="15.75"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2:17" ht="15.75"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2:17" ht="15.75"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2:17" ht="15.75"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2:17" ht="15.75"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2:17" ht="15.75"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2:17" ht="15.75"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2:17" ht="15.75"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2:17" ht="15.75"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2:17" ht="15.75"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2:17" ht="15.75"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ht="15.75"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ht="15.75"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ht="15.75"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ht="15.75"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ht="15.75"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ht="15.75"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ht="15.75"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ht="15.75"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ht="15.75"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ht="15.75"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ht="15.75"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ht="15.75"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ht="15.75"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ht="15.75"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ht="15.75"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ht="15.75"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ht="15.75"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ht="15.75"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ht="15.75"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ht="15.75"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ht="15.75"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ht="15.75"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ht="15.75"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ht="15.75"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ht="15.75"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ht="15.75"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ht="15.75"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ht="15.75"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ht="15.75"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ht="15.75"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ht="15.75"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ht="15.75"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ht="15.75"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ht="15.75"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ht="15.75"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ht="15.75"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ht="15.75"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ht="15.75"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ht="15.75"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ht="15.75"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ht="15.75"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ht="15.75"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ht="15.75"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ht="15.75"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ht="15.75"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ht="15.75"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</row>
    <row r="175" spans="2:17" ht="15.75"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</row>
    <row r="176" spans="2:17" ht="15.75"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</row>
    <row r="177" spans="2:17" ht="15.75"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</row>
    <row r="178" spans="2:17" ht="15.75"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</row>
    <row r="179" spans="2:17" ht="15.75"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</row>
    <row r="180" spans="2:17" ht="15.75"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</row>
    <row r="181" spans="2:17" ht="15.75"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</row>
    <row r="182" spans="2:17" ht="15.75"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</row>
    <row r="183" spans="2:17" ht="15.75"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</row>
    <row r="184" spans="2:17" ht="15.75"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</row>
    <row r="185" spans="2:17" ht="15.75"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</row>
    <row r="186" spans="2:17" ht="15.75"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</row>
    <row r="187" spans="2:17" ht="15.75"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</row>
    <row r="188" spans="2:17" ht="15.75"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</row>
    <row r="189" spans="2:17" ht="15.75"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</row>
    <row r="190" spans="2:17" ht="15.75"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</row>
    <row r="191" spans="2:17" ht="15.75"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</row>
    <row r="192" spans="2:17" ht="15.75"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</row>
    <row r="193" spans="2:17" ht="15.75"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</row>
    <row r="194" spans="2:17" ht="15.75"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</row>
    <row r="195" spans="2:17" ht="15.75"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</row>
    <row r="196" spans="2:17" ht="15.75"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</row>
    <row r="197" spans="2:17" ht="15.75"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</row>
    <row r="198" spans="2:17" ht="15.75"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</row>
    <row r="199" spans="2:17" ht="15.75"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</row>
    <row r="200" spans="2:17" ht="15.75"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</row>
    <row r="201" spans="2:17" ht="15.75"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</row>
    <row r="202" spans="2:17" ht="15.75"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</row>
    <row r="203" spans="2:17" ht="15.75"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</row>
    <row r="204" spans="2:17" ht="15.75"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</row>
    <row r="205" spans="2:17" ht="15.75"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</row>
    <row r="206" spans="2:17" ht="15.75"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</row>
    <row r="207" spans="2:17" ht="15.75"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</row>
    <row r="208" spans="2:17" ht="15.75"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</row>
    <row r="209" spans="2:17" ht="15.75"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</row>
    <row r="210" spans="2:17" ht="15.75"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</row>
    <row r="211" spans="2:17" ht="15.75"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</row>
    <row r="212" spans="2:17" ht="15.75"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</row>
    <row r="213" spans="2:17" ht="15.75"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</row>
    <row r="214" spans="2:17" ht="15.75"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</row>
    <row r="215" spans="2:17" ht="15.75"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</row>
    <row r="216" spans="2:17" ht="15.75"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</row>
    <row r="217" spans="2:17" ht="15.75"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</row>
    <row r="218" spans="2:17" ht="15.75"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</row>
    <row r="219" spans="2:17" ht="15.75"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</row>
    <row r="220" spans="2:17" ht="15.75"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</row>
  </sheetData>
  <sheetProtection password="CE1C" sheet="1" objects="1" scenarios="1"/>
  <mergeCells count="11">
    <mergeCell ref="D30:G33"/>
    <mergeCell ref="K30:N33"/>
    <mergeCell ref="D19:E19"/>
    <mergeCell ref="K19:L19"/>
    <mergeCell ref="D29:G29"/>
    <mergeCell ref="K29:N29"/>
    <mergeCell ref="C5:O5"/>
    <mergeCell ref="K11:L11"/>
    <mergeCell ref="C4:M4"/>
    <mergeCell ref="J14:O14"/>
    <mergeCell ref="C14:H14"/>
  </mergeCells>
  <printOptions/>
  <pageMargins left="0.984251968503937" right="0.91" top="0.49" bottom="0.984251968503937" header="0.3937007874015748" footer="0.5905511811023623"/>
  <pageSetup horizontalDpi="600" verticalDpi="600" orientation="landscape" paperSize="9" scale="7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4">
    <tabColor indexed="53"/>
  </sheetPr>
  <dimension ref="A1:BT296"/>
  <sheetViews>
    <sheetView showGridLines="0" zoomScale="71" zoomScaleNormal="71" workbookViewId="0" topLeftCell="A1">
      <pane xSplit="16" ySplit="35" topLeftCell="Q36" activePane="bottomRight" state="frozen"/>
      <selection pane="topLeft" activeCell="A1" sqref="A1"/>
      <selection pane="topRight" activeCell="Q1" sqref="Q1"/>
      <selection pane="bottomLeft" activeCell="A36" sqref="A36"/>
      <selection pane="bottomRight" activeCell="G27" sqref="G27"/>
    </sheetView>
  </sheetViews>
  <sheetFormatPr defaultColWidth="9.75390625" defaultRowHeight="12.75"/>
  <cols>
    <col min="1" max="1" width="2.75390625" style="216" customWidth="1"/>
    <col min="2" max="2" width="2.625" style="80" customWidth="1"/>
    <col min="3" max="3" width="2.75390625" style="80" customWidth="1"/>
    <col min="4" max="4" width="37.25390625" style="80" customWidth="1"/>
    <col min="5" max="5" width="9.625" style="80" customWidth="1"/>
    <col min="6" max="6" width="21.75390625" style="80" customWidth="1"/>
    <col min="7" max="7" width="5.25390625" style="80" customWidth="1"/>
    <col min="8" max="9" width="2.75390625" style="80" customWidth="1"/>
    <col min="10" max="10" width="2.625" style="80" customWidth="1"/>
    <col min="11" max="11" width="37.875" style="80" customWidth="1"/>
    <col min="12" max="12" width="9.625" style="80" customWidth="1"/>
    <col min="13" max="13" width="22.125" style="80" customWidth="1"/>
    <col min="14" max="14" width="5.125" style="80" customWidth="1"/>
    <col min="15" max="16" width="2.75390625" style="80" customWidth="1"/>
    <col min="17" max="17" width="1.875" style="217" customWidth="1"/>
    <col min="18" max="18" width="12.375" style="217" hidden="1" customWidth="1"/>
    <col min="19" max="26" width="12.375" style="216" hidden="1" customWidth="1"/>
    <col min="27" max="27" width="10.375" style="216" hidden="1" customWidth="1"/>
    <col min="28" max="30" width="8.375" style="216" customWidth="1"/>
    <col min="31" max="72" width="9.75390625" style="216" customWidth="1"/>
    <col min="73" max="16384" width="9.75390625" style="80" customWidth="1"/>
  </cols>
  <sheetData>
    <row r="1" spans="2:24" ht="8.25" customHeight="1" thickBot="1"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R1" s="218">
        <v>1</v>
      </c>
      <c r="S1" s="218">
        <v>2</v>
      </c>
      <c r="T1" s="218">
        <v>3</v>
      </c>
      <c r="U1" s="218">
        <v>4</v>
      </c>
      <c r="V1" s="218">
        <v>5</v>
      </c>
      <c r="W1" s="218">
        <v>6</v>
      </c>
      <c r="X1" s="218"/>
    </row>
    <row r="2" spans="2:24" ht="10.5" customHeight="1">
      <c r="B2" s="111"/>
      <c r="C2" s="1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112"/>
      <c r="P2" s="113"/>
      <c r="Q2" s="216"/>
      <c r="R2" s="219" t="s">
        <v>41</v>
      </c>
      <c r="S2" s="219" t="s">
        <v>39</v>
      </c>
      <c r="T2" s="219" t="s">
        <v>8</v>
      </c>
      <c r="U2" s="219" t="s">
        <v>144</v>
      </c>
      <c r="V2" s="219" t="s">
        <v>39</v>
      </c>
      <c r="W2" s="219"/>
      <c r="X2" s="403" t="s">
        <v>74</v>
      </c>
    </row>
    <row r="3" spans="2:24" ht="18" customHeight="1">
      <c r="B3" s="114"/>
      <c r="C3" s="90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90"/>
      <c r="P3" s="115"/>
      <c r="Q3" s="216"/>
      <c r="R3" s="219" t="s">
        <v>42</v>
      </c>
      <c r="S3" s="219" t="s">
        <v>40</v>
      </c>
      <c r="T3" s="219" t="s">
        <v>37</v>
      </c>
      <c r="U3" s="219" t="s">
        <v>145</v>
      </c>
      <c r="V3" s="219" t="s">
        <v>40</v>
      </c>
      <c r="W3" s="219"/>
      <c r="X3" s="403" t="s">
        <v>75</v>
      </c>
    </row>
    <row r="4" spans="2:21" ht="18" customHeight="1" thickBot="1">
      <c r="B4" s="114"/>
      <c r="C4" s="801" t="s">
        <v>155</v>
      </c>
      <c r="D4" s="801"/>
      <c r="E4" s="801"/>
      <c r="F4" s="801"/>
      <c r="G4" s="801"/>
      <c r="H4" s="801"/>
      <c r="I4" s="801"/>
      <c r="J4" s="801"/>
      <c r="K4" s="801"/>
      <c r="L4" s="299"/>
      <c r="M4" s="134"/>
      <c r="N4" s="116"/>
      <c r="O4" s="90"/>
      <c r="P4" s="115"/>
      <c r="Q4" s="216"/>
      <c r="R4" s="216"/>
      <c r="T4" s="219" t="s">
        <v>58</v>
      </c>
      <c r="U4" s="219"/>
    </row>
    <row r="5" spans="2:21" ht="21" customHeight="1">
      <c r="B5" s="114"/>
      <c r="C5" s="797" t="s">
        <v>57</v>
      </c>
      <c r="D5" s="798"/>
      <c r="E5" s="798"/>
      <c r="F5" s="798"/>
      <c r="G5" s="798"/>
      <c r="H5" s="798"/>
      <c r="I5" s="798"/>
      <c r="J5" s="798"/>
      <c r="K5" s="798"/>
      <c r="L5" s="798"/>
      <c r="M5" s="798"/>
      <c r="N5" s="798"/>
      <c r="O5" s="799"/>
      <c r="P5" s="115"/>
      <c r="Q5" s="216"/>
      <c r="R5" s="606" t="s">
        <v>119</v>
      </c>
      <c r="U5" s="219"/>
    </row>
    <row r="6" spans="2:24" ht="18" customHeight="1" thickBot="1">
      <c r="B6" s="114"/>
      <c r="C6" s="114"/>
      <c r="D6" s="89" t="s">
        <v>3</v>
      </c>
      <c r="E6" s="90"/>
      <c r="F6" s="28">
        <v>1</v>
      </c>
      <c r="G6" s="90"/>
      <c r="H6" s="100"/>
      <c r="I6" s="100"/>
      <c r="J6" s="100"/>
      <c r="K6" s="99" t="s">
        <v>5</v>
      </c>
      <c r="L6" s="100"/>
      <c r="M6" s="101">
        <v>1</v>
      </c>
      <c r="N6" s="90"/>
      <c r="O6" s="90"/>
      <c r="P6" s="294"/>
      <c r="Q6" s="216"/>
      <c r="R6" s="407" t="s">
        <v>76</v>
      </c>
      <c r="S6" s="407"/>
      <c r="T6" s="407"/>
      <c r="U6" s="403"/>
      <c r="V6" s="407" t="s">
        <v>77</v>
      </c>
      <c r="W6" s="407"/>
      <c r="X6" s="407"/>
    </row>
    <row r="7" spans="2:24" ht="18" customHeight="1" thickBot="1">
      <c r="B7" s="114"/>
      <c r="C7" s="114"/>
      <c r="D7" s="89" t="s">
        <v>4</v>
      </c>
      <c r="E7" s="71"/>
      <c r="F7" s="639">
        <v>1</v>
      </c>
      <c r="G7" s="100"/>
      <c r="H7" s="100"/>
      <c r="I7" s="100"/>
      <c r="J7" s="90"/>
      <c r="K7" s="99" t="s">
        <v>85</v>
      </c>
      <c r="L7" s="100"/>
      <c r="M7" s="250">
        <v>36</v>
      </c>
      <c r="N7" s="92" t="s">
        <v>81</v>
      </c>
      <c r="O7" s="90"/>
      <c r="P7" s="294"/>
      <c r="Q7" s="216"/>
      <c r="R7" s="408" t="s">
        <v>46</v>
      </c>
      <c r="S7" s="415"/>
      <c r="T7" s="415"/>
      <c r="U7" s="403"/>
      <c r="V7" s="408" t="s">
        <v>46</v>
      </c>
      <c r="W7" s="415">
        <f>IF(E12=2,IF(M6=1,W10,IF(M7=24,W11,W12)),0)</f>
        <v>0</v>
      </c>
      <c r="X7" s="415"/>
    </row>
    <row r="8" spans="2:24" ht="18" customHeight="1" thickBot="1">
      <c r="B8" s="294"/>
      <c r="C8" s="90"/>
      <c r="D8" s="87" t="s">
        <v>19</v>
      </c>
      <c r="E8" s="90"/>
      <c r="F8" s="91">
        <f>SUM(F9:F11)</f>
        <v>5000</v>
      </c>
      <c r="G8" s="92" t="str">
        <f>IF($M$6=1,"руб.",IF($M$6=2,"$","евро"))</f>
        <v>руб.</v>
      </c>
      <c r="H8" s="90"/>
      <c r="I8" s="90"/>
      <c r="J8" s="90"/>
      <c r="K8" s="87" t="s">
        <v>20</v>
      </c>
      <c r="L8" s="87"/>
      <c r="M8" s="100"/>
      <c r="N8" s="100"/>
      <c r="O8" s="115"/>
      <c r="P8" s="115"/>
      <c r="Q8" s="216"/>
      <c r="R8" s="405" t="s">
        <v>47</v>
      </c>
      <c r="S8" s="607" t="e">
        <f>(F9+F10+F11-M10)/0.97*'Условия программ'!#REF!</f>
        <v>#REF!</v>
      </c>
      <c r="T8" s="417"/>
      <c r="U8" s="403"/>
      <c r="V8" s="405" t="s">
        <v>47</v>
      </c>
      <c r="W8" s="607" t="e">
        <f>(F9+F10+F11-M10)/0.95*'Условия программ'!#REF!</f>
        <v>#REF!</v>
      </c>
      <c r="X8" s="417"/>
    </row>
    <row r="9" spans="2:24" ht="18" customHeight="1" thickBot="1">
      <c r="B9" s="114"/>
      <c r="C9" s="295"/>
      <c r="D9" s="93" t="s">
        <v>11</v>
      </c>
      <c r="E9" s="90"/>
      <c r="F9" s="94">
        <v>5000</v>
      </c>
      <c r="G9" s="92" t="str">
        <f>IF($M$6=1,"руб.",IF($M$6=2,"$","евро"))</f>
        <v>руб.</v>
      </c>
      <c r="H9" s="90"/>
      <c r="I9" s="90"/>
      <c r="J9" s="293"/>
      <c r="K9" s="102" t="s">
        <v>17</v>
      </c>
      <c r="L9" s="103">
        <f>IF(F7=1,IF(F6=1,'Условия программ'!E45,'Условия программ'!E46),'Условия программ'!K46)</f>
        <v>0.1</v>
      </c>
      <c r="M9" s="97">
        <f>F8*L9</f>
        <v>500</v>
      </c>
      <c r="N9" s="92" t="str">
        <f>IF($M$6=1,"руб.",IF($M$6=2,"$","евро"))</f>
        <v>руб.</v>
      </c>
      <c r="O9" s="293"/>
      <c r="P9" s="294"/>
      <c r="Q9" s="216"/>
      <c r="R9" s="405"/>
      <c r="S9" s="607"/>
      <c r="T9" s="417"/>
      <c r="U9" s="416"/>
      <c r="V9" s="405"/>
      <c r="W9" s="607"/>
      <c r="X9" s="417"/>
    </row>
    <row r="10" spans="2:24" ht="18" customHeight="1" thickBot="1">
      <c r="B10" s="294"/>
      <c r="C10" s="90"/>
      <c r="D10" s="95" t="s">
        <v>56</v>
      </c>
      <c r="E10" s="96">
        <f>F10/F9</f>
        <v>0</v>
      </c>
      <c r="F10" s="94">
        <v>0</v>
      </c>
      <c r="G10" s="92" t="str">
        <f>IF($M$6=1,"руб.",IF($M$6=2,"$","евро"))</f>
        <v>руб.</v>
      </c>
      <c r="H10" s="90"/>
      <c r="I10" s="90"/>
      <c r="J10" s="293"/>
      <c r="K10" s="104" t="s">
        <v>18</v>
      </c>
      <c r="L10" s="105">
        <f>ROUND(M10/F8,4)</f>
        <v>0.2</v>
      </c>
      <c r="M10" s="184">
        <v>1000</v>
      </c>
      <c r="N10" s="92" t="str">
        <f>IF($M$6=1,"руб.",IF($M$6=2,"$","евро"))</f>
        <v>руб.</v>
      </c>
      <c r="O10" s="293"/>
      <c r="P10" s="294"/>
      <c r="Q10" s="216"/>
      <c r="R10" s="405" t="s">
        <v>45</v>
      </c>
      <c r="S10" s="608" t="e">
        <f>IF(S8&lt;='Условия программ'!#REF!,'Условия программ'!#REF!,S8)</f>
        <v>#REF!</v>
      </c>
      <c r="T10" s="417" t="s">
        <v>48</v>
      </c>
      <c r="U10" s="407"/>
      <c r="V10" s="405" t="s">
        <v>45</v>
      </c>
      <c r="W10" s="608" t="e">
        <f>IF(W8&lt;='Условия программ'!#REF!,'Условия программ'!#REF!,W8)</f>
        <v>#REF!</v>
      </c>
      <c r="X10" s="417" t="s">
        <v>48</v>
      </c>
    </row>
    <row r="11" spans="2:24" ht="18" customHeight="1" thickBot="1">
      <c r="B11" s="114"/>
      <c r="C11" s="295"/>
      <c r="D11" s="98" t="s">
        <v>83</v>
      </c>
      <c r="E11" s="243">
        <v>0</v>
      </c>
      <c r="F11" s="244">
        <f>ROUNDUP((F9+F10)*E11,0)</f>
        <v>0</v>
      </c>
      <c r="G11" s="245" t="str">
        <f>IF($M$6=1,"руб.",IF($M$6=2,"$","евро"))</f>
        <v>руб.</v>
      </c>
      <c r="H11" s="90"/>
      <c r="I11" s="90"/>
      <c r="J11" s="293"/>
      <c r="K11" s="800" t="s">
        <v>154</v>
      </c>
      <c r="L11" s="800"/>
      <c r="M11" s="107" t="s">
        <v>284</v>
      </c>
      <c r="N11" s="106"/>
      <c r="O11" s="293"/>
      <c r="P11" s="294"/>
      <c r="Q11" s="216"/>
      <c r="R11" s="405" t="s">
        <v>45</v>
      </c>
      <c r="S11" s="416" t="e">
        <f>IF(S8&lt;='Условия программ'!#REF!,'Условия программ'!#REF!,S8)</f>
        <v>#REF!</v>
      </c>
      <c r="T11" s="417" t="s">
        <v>49</v>
      </c>
      <c r="U11" s="407"/>
      <c r="V11" s="405" t="s">
        <v>45</v>
      </c>
      <c r="W11" s="416" t="e">
        <f>IF(W8&lt;='Условия программ'!#REF!,'Условия программ'!#REF!,W8)</f>
        <v>#REF!</v>
      </c>
      <c r="X11" s="417" t="s">
        <v>49</v>
      </c>
    </row>
    <row r="12" spans="2:24" ht="9" customHeight="1" thickBot="1">
      <c r="B12" s="123"/>
      <c r="C12" s="296"/>
      <c r="D12" s="141"/>
      <c r="E12" s="246"/>
      <c r="F12" s="297"/>
      <c r="G12" s="298"/>
      <c r="H12" s="90"/>
      <c r="I12" s="90"/>
      <c r="J12" s="90"/>
      <c r="K12" s="330"/>
      <c r="L12" s="330"/>
      <c r="M12" s="106"/>
      <c r="N12" s="106"/>
      <c r="O12" s="90"/>
      <c r="P12" s="294"/>
      <c r="Q12" s="216"/>
      <c r="R12" s="413" t="s">
        <v>45</v>
      </c>
      <c r="S12" s="418" t="e">
        <f>IF(S8&lt;='Условия программ'!#REF!,'Условия программ'!#REF!,S8)</f>
        <v>#REF!</v>
      </c>
      <c r="T12" s="419" t="s">
        <v>36</v>
      </c>
      <c r="U12" s="407"/>
      <c r="V12" s="413" t="s">
        <v>45</v>
      </c>
      <c r="W12" s="418" t="e">
        <f>IF(W8&lt;='Условия программ'!#REF!,'Условия программ'!#REF!,W8)</f>
        <v>#REF!</v>
      </c>
      <c r="X12" s="419" t="s">
        <v>36</v>
      </c>
    </row>
    <row r="13" spans="2:21" ht="9" customHeight="1" thickBot="1">
      <c r="B13" s="123"/>
      <c r="C13" s="554"/>
      <c r="D13" s="555"/>
      <c r="E13" s="112"/>
      <c r="F13" s="90"/>
      <c r="G13" s="112"/>
      <c r="H13" s="112"/>
      <c r="I13" s="112"/>
      <c r="J13" s="112"/>
      <c r="K13" s="112"/>
      <c r="L13" s="112"/>
      <c r="M13" s="112"/>
      <c r="N13" s="112"/>
      <c r="O13" s="112"/>
      <c r="P13" s="115"/>
      <c r="Q13" s="216"/>
      <c r="R13" s="222" t="s">
        <v>51</v>
      </c>
      <c r="S13" s="223" t="s">
        <v>79</v>
      </c>
      <c r="T13" s="222" t="s">
        <v>51</v>
      </c>
      <c r="U13" s="223" t="s">
        <v>80</v>
      </c>
    </row>
    <row r="14" spans="2:21" ht="25.5" customHeight="1" thickBot="1">
      <c r="B14" s="123"/>
      <c r="C14" s="802" t="s">
        <v>147</v>
      </c>
      <c r="D14" s="803"/>
      <c r="E14" s="803"/>
      <c r="F14" s="803"/>
      <c r="G14" s="803"/>
      <c r="H14" s="803"/>
      <c r="I14" s="594"/>
      <c r="J14" s="802" t="s">
        <v>146</v>
      </c>
      <c r="K14" s="803"/>
      <c r="L14" s="803"/>
      <c r="M14" s="803"/>
      <c r="N14" s="803"/>
      <c r="O14" s="804"/>
      <c r="P14" s="115"/>
      <c r="Q14" s="216"/>
      <c r="R14" s="629">
        <f>IF(M11=1,'Условия программ'!E48,'Условия программ'!D48)</f>
        <v>0.155</v>
      </c>
      <c r="S14" s="228" t="s">
        <v>48</v>
      </c>
      <c r="T14" s="629">
        <f>IF(M11=1,'Условия программ'!K48,'Условия программ'!J48)</f>
        <v>0.175</v>
      </c>
      <c r="U14" s="228" t="s">
        <v>48</v>
      </c>
    </row>
    <row r="15" spans="2:21" ht="18" customHeight="1" thickBot="1">
      <c r="B15" s="579"/>
      <c r="C15" s="292"/>
      <c r="D15" s="331" t="s">
        <v>110</v>
      </c>
      <c r="E15" s="108"/>
      <c r="F15" s="186">
        <f>IF($F$7=1,IF($M$6=1,R14,R15),IF(M6=1,T14,T15))</f>
        <v>0.155</v>
      </c>
      <c r="G15" s="90"/>
      <c r="H15" s="591"/>
      <c r="I15" s="90"/>
      <c r="J15" s="580"/>
      <c r="K15" s="331" t="s">
        <v>110</v>
      </c>
      <c r="L15" s="108"/>
      <c r="M15" s="186">
        <f>IF($F$7=1,IF($M$6=1,S47,S48),IF(M6=1,U47,U48))</f>
        <v>0.135</v>
      </c>
      <c r="N15" s="90"/>
      <c r="O15" s="591"/>
      <c r="P15" s="115"/>
      <c r="Q15" s="216"/>
      <c r="R15" s="630">
        <f>IF(M11=1,'Условия программ'!E55,'Условия программ'!D55)</f>
        <v>0.145</v>
      </c>
      <c r="S15" s="229" t="s">
        <v>52</v>
      </c>
      <c r="T15" s="630">
        <f>IF(M11=1,'Условия программ'!K55,'Условия программ'!J55)</f>
        <v>0.165</v>
      </c>
      <c r="U15" s="229" t="s">
        <v>52</v>
      </c>
    </row>
    <row r="16" spans="2:24" ht="9" customHeight="1" thickBot="1">
      <c r="B16" s="579"/>
      <c r="C16" s="292"/>
      <c r="D16" s="90"/>
      <c r="E16" s="90"/>
      <c r="F16" s="309"/>
      <c r="G16" s="90"/>
      <c r="H16" s="90"/>
      <c r="I16" s="594"/>
      <c r="J16" s="580"/>
      <c r="K16" s="90"/>
      <c r="L16" s="90"/>
      <c r="M16" s="309"/>
      <c r="N16" s="90"/>
      <c r="O16" s="591"/>
      <c r="P16" s="115"/>
      <c r="Q16" s="216"/>
      <c r="R16" s="408" t="s">
        <v>59</v>
      </c>
      <c r="S16" s="415"/>
      <c r="T16" s="409"/>
      <c r="V16" s="408" t="s">
        <v>59</v>
      </c>
      <c r="W16" s="415">
        <f>IF(E12=1,IF(M6=1,W18,IF(M6=2,W19,W20)),0)</f>
        <v>0</v>
      </c>
      <c r="X16" s="409"/>
    </row>
    <row r="17" spans="2:24" ht="18" customHeight="1" thickBot="1">
      <c r="B17" s="579"/>
      <c r="C17" s="292"/>
      <c r="D17" s="491" t="s">
        <v>43</v>
      </c>
      <c r="E17" s="90"/>
      <c r="F17" s="311">
        <f>F8-M10</f>
        <v>4000</v>
      </c>
      <c r="G17" s="87" t="str">
        <f>IF($M$6=1,"руб.",IF($M$6=2,"$","евро"))</f>
        <v>руб.</v>
      </c>
      <c r="H17" s="591"/>
      <c r="I17" s="90"/>
      <c r="J17" s="580"/>
      <c r="K17" s="304" t="s">
        <v>131</v>
      </c>
      <c r="L17" s="90"/>
      <c r="M17" s="311">
        <f>F8-M10</f>
        <v>4000</v>
      </c>
      <c r="N17" s="87" t="str">
        <f>IF($M$6=1,"руб.",IF($M$6=2,"$","евро"))</f>
        <v>руб.</v>
      </c>
      <c r="O17" s="591"/>
      <c r="P17" s="115"/>
      <c r="Q17" s="216"/>
      <c r="R17" s="405" t="s">
        <v>47</v>
      </c>
      <c r="S17" s="416" t="e">
        <f>F17*'Условия программ'!#REF!</f>
        <v>#REF!</v>
      </c>
      <c r="T17" s="417"/>
      <c r="V17" s="405" t="s">
        <v>47</v>
      </c>
      <c r="W17" s="416" t="e">
        <f>F17*'Условия программ'!#REF!</f>
        <v>#REF!</v>
      </c>
      <c r="X17" s="417"/>
    </row>
    <row r="18" spans="2:24" ht="9" customHeight="1" thickBot="1">
      <c r="B18" s="123"/>
      <c r="C18" s="580"/>
      <c r="D18" s="305"/>
      <c r="E18" s="100"/>
      <c r="F18" s="312"/>
      <c r="G18" s="90"/>
      <c r="H18" s="591"/>
      <c r="I18" s="90"/>
      <c r="J18" s="580"/>
      <c r="K18" s="305"/>
      <c r="L18" s="100"/>
      <c r="M18" s="312"/>
      <c r="N18" s="90"/>
      <c r="O18" s="591"/>
      <c r="P18" s="115"/>
      <c r="Q18" s="216"/>
      <c r="R18" s="405" t="s">
        <v>45</v>
      </c>
      <c r="S18" s="416" t="e">
        <f>IF(S17&lt;='Условия программ'!#REF!,'Условия программ'!#REF!,S17)</f>
        <v>#REF!</v>
      </c>
      <c r="T18" s="417" t="s">
        <v>60</v>
      </c>
      <c r="V18" s="405" t="s">
        <v>45</v>
      </c>
      <c r="W18" s="416" t="e">
        <f>IF(W17&lt;='Условия программ'!#REF!,'Условия программ'!#REF!,W17)</f>
        <v>#REF!</v>
      </c>
      <c r="X18" s="417" t="s">
        <v>60</v>
      </c>
    </row>
    <row r="19" spans="2:24" ht="18" customHeight="1" thickBot="1">
      <c r="B19" s="579"/>
      <c r="C19" s="292"/>
      <c r="D19" s="784" t="s">
        <v>103</v>
      </c>
      <c r="E19" s="784"/>
      <c r="F19" s="313" t="s">
        <v>29</v>
      </c>
      <c r="G19" s="326" t="str">
        <f>IF($M$6=1,"руб.",IF($M$6=2,"$","евро"))</f>
        <v>руб.</v>
      </c>
      <c r="H19" s="90"/>
      <c r="I19" s="594"/>
      <c r="J19" s="292"/>
      <c r="K19" s="784" t="s">
        <v>103</v>
      </c>
      <c r="L19" s="784"/>
      <c r="M19" s="311">
        <f>M21-M17</f>
        <v>241.78154825026468</v>
      </c>
      <c r="N19" s="87" t="str">
        <f>IF($M$6=1,"руб.",IF($M$6=2,"$","евро"))</f>
        <v>руб.</v>
      </c>
      <c r="O19" s="591"/>
      <c r="P19" s="115"/>
      <c r="Q19" s="216"/>
      <c r="R19" s="405" t="s">
        <v>45</v>
      </c>
      <c r="S19" s="416" t="e">
        <f>IF(S17&lt;='Условия программ'!#REF!,'Условия программ'!#REF!,S17)</f>
        <v>#REF!</v>
      </c>
      <c r="T19" s="417" t="s">
        <v>49</v>
      </c>
      <c r="V19" s="405" t="s">
        <v>45</v>
      </c>
      <c r="W19" s="416" t="e">
        <f>IF(W17&lt;='Условия программ'!#REF!,'Условия программ'!#REF!,W17)</f>
        <v>#REF!</v>
      </c>
      <c r="X19" s="417" t="s">
        <v>49</v>
      </c>
    </row>
    <row r="20" spans="2:24" ht="9" customHeight="1" thickBot="1">
      <c r="B20" s="579"/>
      <c r="C20" s="292"/>
      <c r="D20" s="306"/>
      <c r="E20" s="306"/>
      <c r="F20" s="314"/>
      <c r="G20" s="99"/>
      <c r="H20" s="90"/>
      <c r="I20" s="594"/>
      <c r="J20" s="292"/>
      <c r="K20" s="306"/>
      <c r="L20" s="306"/>
      <c r="M20" s="314"/>
      <c r="N20" s="99"/>
      <c r="O20" s="90"/>
      <c r="P20" s="586"/>
      <c r="Q20" s="216"/>
      <c r="R20" s="413" t="s">
        <v>45</v>
      </c>
      <c r="S20" s="418" t="e">
        <f>IF(S17&lt;='Условия программ'!#REF!,'Условия программ'!#REF!,S17)</f>
        <v>#REF!</v>
      </c>
      <c r="T20" s="419" t="s">
        <v>36</v>
      </c>
      <c r="V20" s="413" t="s">
        <v>45</v>
      </c>
      <c r="W20" s="418" t="e">
        <f>IF(W17&lt;='Условия программ'!#REF!,'Условия программ'!#REF!,W17)</f>
        <v>#REF!</v>
      </c>
      <c r="X20" s="419" t="s">
        <v>36</v>
      </c>
    </row>
    <row r="21" spans="2:17" ht="18" customHeight="1" thickBot="1">
      <c r="B21" s="123"/>
      <c r="C21" s="580"/>
      <c r="D21" s="304" t="s">
        <v>104</v>
      </c>
      <c r="E21" s="88"/>
      <c r="F21" s="311">
        <f>F17</f>
        <v>4000</v>
      </c>
      <c r="G21" s="87" t="str">
        <f>G17</f>
        <v>руб.</v>
      </c>
      <c r="H21" s="100"/>
      <c r="I21" s="598"/>
      <c r="J21" s="292"/>
      <c r="K21" s="491" t="s">
        <v>104</v>
      </c>
      <c r="L21" s="88"/>
      <c r="M21" s="311">
        <f>M17/(1-'Условия программ'!S108*M7/12)</f>
        <v>4241.781548250265</v>
      </c>
      <c r="N21" s="87" t="str">
        <f>N17</f>
        <v>руб.</v>
      </c>
      <c r="O21" s="591"/>
      <c r="P21" s="115"/>
      <c r="Q21" s="216"/>
    </row>
    <row r="22" spans="2:22" ht="9" customHeight="1" thickBot="1">
      <c r="B22" s="579"/>
      <c r="C22" s="292"/>
      <c r="D22" s="99"/>
      <c r="E22" s="99"/>
      <c r="F22" s="315"/>
      <c r="G22" s="99"/>
      <c r="H22" s="597"/>
      <c r="I22" s="597"/>
      <c r="J22" s="292"/>
      <c r="K22" s="99"/>
      <c r="L22" s="99"/>
      <c r="M22" s="315"/>
      <c r="N22" s="99"/>
      <c r="O22" s="140"/>
      <c r="P22" s="586"/>
      <c r="Q22" s="216"/>
      <c r="R22" s="222" t="s">
        <v>62</v>
      </c>
      <c r="S22" s="227"/>
      <c r="T22" s="223"/>
      <c r="U22" s="216" t="s">
        <v>124</v>
      </c>
      <c r="V22" s="637">
        <f>IF(F7=1,V23,V24)</f>
      </c>
    </row>
    <row r="23" spans="2:22" ht="18" customHeight="1" thickBot="1">
      <c r="B23" s="123"/>
      <c r="C23" s="580"/>
      <c r="D23" s="304" t="s">
        <v>106</v>
      </c>
      <c r="E23" s="316"/>
      <c r="F23" s="605" t="s">
        <v>93</v>
      </c>
      <c r="G23" s="143"/>
      <c r="H23" s="596"/>
      <c r="I23" s="596"/>
      <c r="J23" s="292"/>
      <c r="K23" s="304" t="s">
        <v>106</v>
      </c>
      <c r="L23" s="316"/>
      <c r="M23" s="604" t="s">
        <v>93</v>
      </c>
      <c r="N23" s="143"/>
      <c r="O23" s="140"/>
      <c r="P23" s="586"/>
      <c r="Q23" s="216"/>
      <c r="R23" s="638" t="str">
        <f>IF($F$7=2,IF($M$7&lt;12,"Необходимо увеличить срок кредита. Минимальный срок кредитования - 12 месяцев",IF($M$7&gt;36,"Необходимо уменьшить срок кредита. Максимальный срок кредитования подержанных автомобилей - 36 месяцев",IF($E$10&gt;10%,"Стоимость дополнительного оборудования должна быть не более 10% от стоимости автомобиля",IF($L$10&lt;$L$9,V22,IF($L$10&gt;70%,"Необходимо уменьшить размер первоначального взноса. Максимальный размер - 70% от совокупной стоимости автомобиля",$R$25))))),$R$24)</f>
        <v>Сумма кредита должна быть не менее 100 000 рублей</v>
      </c>
      <c r="S23" s="221"/>
      <c r="T23" s="228"/>
      <c r="V23" s="636">
        <f>IF(F6=1,IF($L$10&lt;'Условия программ'!E45,"Необходимо увеличить размер первоначального взноса до необходимого минимума - 10% от совокупной стоимости автомобиля",""),IF(L10&lt;'Условия программ'!E46,"Необходимо увеличить размер первоначального взноса до необходимого минимума - 20% от совокупной стоимости автомобиля",""))</f>
      </c>
    </row>
    <row r="24" spans="2:22" ht="9" customHeight="1" thickBot="1">
      <c r="B24" s="579"/>
      <c r="C24" s="292"/>
      <c r="D24" s="88"/>
      <c r="E24" s="99"/>
      <c r="F24" s="143"/>
      <c r="G24" s="99"/>
      <c r="H24" s="106"/>
      <c r="I24" s="595"/>
      <c r="J24" s="292"/>
      <c r="K24" s="143"/>
      <c r="L24" s="99"/>
      <c r="M24" s="143"/>
      <c r="N24" s="139"/>
      <c r="O24" s="141"/>
      <c r="P24" s="586"/>
      <c r="Q24" s="216"/>
      <c r="R24" s="638" t="str">
        <f>IF($E$10&gt;10%,"Стоимость дополнительного оборудования должна быть не более 10% от стоимости автомобиля",IF($M$7&lt;12,"Необходимо увеличить срок кредита. Минимальный срок кредитования - 12 месяцев",IF($M$7&gt;60,"Необходимо уменьшить срок кредита. Максимальный срок кредитования - 60 месяцев",IF($L$10&lt;$L$9,V22,IF($L$10&gt;70%,"Необходимо уменьшить размер первоначального взноса. Максимальный размер - 70% от совокупной стоимости автомобиля",$R$25)))))</f>
        <v>Сумма кредита должна быть не менее 100 000 рублей</v>
      </c>
      <c r="S24" s="221"/>
      <c r="T24" s="228"/>
      <c r="V24" s="637" t="str">
        <f>IF(L10&lt;'Условия программ'!K46,"Необходимо увеличить размер первоначального взноса до необходимого минимума - 30% от совокупной стоимости автомобиля","")</f>
        <v>Необходимо увеличить размер первоначального взноса до необходимого минимума - 30% от совокупной стоимости автомобиля</v>
      </c>
    </row>
    <row r="25" spans="2:20" ht="18" customHeight="1" thickBot="1">
      <c r="B25" s="123"/>
      <c r="C25" s="580"/>
      <c r="D25" s="308" t="s">
        <v>105</v>
      </c>
      <c r="E25" s="99"/>
      <c r="F25" s="311">
        <f>($F$17*($F$15/12))/(1-(1+$F$15/12)^(-$M$7))</f>
        <v>139.6427240871818</v>
      </c>
      <c r="G25" s="307" t="str">
        <f>IF($M$6=1,"руб.",IF($M$6=2,"$","евро"))</f>
        <v>руб.</v>
      </c>
      <c r="H25" s="106"/>
      <c r="I25" s="595"/>
      <c r="J25" s="292"/>
      <c r="K25" s="308" t="s">
        <v>105</v>
      </c>
      <c r="L25" s="99"/>
      <c r="M25" s="311">
        <f>($M$21*($M$15/12))/(1-(1+$M$15/12)^(-$M$7))</f>
        <v>143.94607563512636</v>
      </c>
      <c r="N25" s="307" t="str">
        <f>IF($M$6=1,"руб.",IF($M$6=2,"$","евро"))</f>
        <v>руб.</v>
      </c>
      <c r="O25" s="587"/>
      <c r="P25" s="115"/>
      <c r="Q25" s="216"/>
      <c r="R25" s="638" t="str">
        <f>IF(M6=1,S26,IF(M6=2,S27,S28))</f>
        <v>Сумма кредита должна быть не менее 100 000 рублей</v>
      </c>
      <c r="T25" s="228"/>
    </row>
    <row r="26" spans="2:20" ht="9" customHeight="1" thickBot="1">
      <c r="B26" s="123"/>
      <c r="C26" s="580"/>
      <c r="D26" s="143"/>
      <c r="E26" s="99"/>
      <c r="F26" s="305"/>
      <c r="G26" s="99"/>
      <c r="H26" s="90"/>
      <c r="I26" s="594"/>
      <c r="J26" s="580"/>
      <c r="K26" s="99"/>
      <c r="L26" s="99"/>
      <c r="M26" s="305"/>
      <c r="N26" s="99"/>
      <c r="O26" s="141"/>
      <c r="P26" s="586"/>
      <c r="Q26" s="216"/>
      <c r="R26" s="220" t="s">
        <v>63</v>
      </c>
      <c r="S26" s="631" t="str">
        <f>IF(F17&lt;'Условия программ'!D59,"Сумма кредита должна быть не менее 100 000 рублей",IF(F17&gt;'Условия программ'!L59,"Сумма кредита должна быть не более 5 000 000 рублей",""))</f>
        <v>Сумма кредита должна быть не менее 100 000 рублей</v>
      </c>
      <c r="T26" s="228" t="s">
        <v>48</v>
      </c>
    </row>
    <row r="27" spans="2:20" ht="18" customHeight="1" thickBot="1">
      <c r="B27" s="579"/>
      <c r="C27" s="292"/>
      <c r="D27" s="304" t="s">
        <v>107</v>
      </c>
      <c r="E27" s="99"/>
      <c r="F27" s="318">
        <f>F25*M7-F17</f>
        <v>1027.138067138544</v>
      </c>
      <c r="G27" s="310" t="str">
        <f>IF($M$6=1,"руб.",IF($M$6=2,"$","евро"))</f>
        <v>руб.</v>
      </c>
      <c r="H27" s="90"/>
      <c r="I27" s="594"/>
      <c r="J27" s="292"/>
      <c r="K27" s="304" t="s">
        <v>107</v>
      </c>
      <c r="L27" s="99"/>
      <c r="M27" s="318">
        <f>M25*M7-M21</f>
        <v>940.2771746142844</v>
      </c>
      <c r="N27" s="310" t="str">
        <f>IF($M$6=1,"руб.",IF($M$6=2,"$","евро"))</f>
        <v>руб.</v>
      </c>
      <c r="O27" s="587"/>
      <c r="P27" s="115"/>
      <c r="R27" s="220" t="s">
        <v>63</v>
      </c>
      <c r="S27" s="631">
        <f>IF(F17&lt;'Условия программ'!D60,"Сумма кредита должна быть не менее 100 000 рублей (эквивалент данной суммы в долларах США по курсу ЦБ РФ)",IF(F17&gt;'Условия программ'!L60,"Сумма кредита должна быть не более 5 000 000 рублей (эквивалент данной суммы в долларах США по курсу ЦБ РФ)",""))</f>
      </c>
      <c r="T27" s="228" t="s">
        <v>49</v>
      </c>
    </row>
    <row r="28" spans="2:20" ht="9" customHeight="1">
      <c r="B28" s="579"/>
      <c r="C28" s="292"/>
      <c r="D28" s="304"/>
      <c r="E28" s="99"/>
      <c r="F28" s="323"/>
      <c r="G28" s="307"/>
      <c r="H28" s="90"/>
      <c r="I28" s="594"/>
      <c r="J28" s="292"/>
      <c r="K28" s="304"/>
      <c r="L28" s="99"/>
      <c r="M28" s="323"/>
      <c r="N28" s="307"/>
      <c r="O28" s="290"/>
      <c r="P28" s="586"/>
      <c r="R28" s="226" t="s">
        <v>63</v>
      </c>
      <c r="S28" s="635">
        <f>IF(F17&lt;'Условия программ'!D61,"Сумма кредита должна быть не менее 100 000 рублей (эквивалент данной суммы в евро по курсу ЦБ РФ)",IF(F17&gt;'Условия программ'!L61,"Сумма кредита должна быть не более 5 000 000 рублей (эквивалент данной суммы в евро по курсу ЦБ РФ)",""))</f>
      </c>
      <c r="T28" s="229" t="s">
        <v>36</v>
      </c>
    </row>
    <row r="29" spans="1:72" s="520" customFormat="1" ht="14.25" customHeight="1" thickBot="1">
      <c r="A29" s="512"/>
      <c r="B29" s="513"/>
      <c r="C29" s="602"/>
      <c r="D29" s="785" t="s">
        <v>44</v>
      </c>
      <c r="E29" s="785"/>
      <c r="F29" s="785"/>
      <c r="G29" s="785"/>
      <c r="H29" s="516"/>
      <c r="I29" s="599"/>
      <c r="J29" s="26"/>
      <c r="K29" s="786" t="s">
        <v>44</v>
      </c>
      <c r="L29" s="786"/>
      <c r="M29" s="786"/>
      <c r="N29" s="786"/>
      <c r="O29" s="507"/>
      <c r="P29" s="588"/>
      <c r="Q29" s="509"/>
      <c r="R29" s="610" t="s">
        <v>116</v>
      </c>
      <c r="S29" s="512"/>
      <c r="T29" s="512"/>
      <c r="U29" s="512"/>
      <c r="V29" s="512"/>
      <c r="W29" s="512"/>
      <c r="X29" s="512"/>
      <c r="Y29" s="512"/>
      <c r="Z29" s="512"/>
      <c r="AA29" s="512"/>
      <c r="AB29" s="512"/>
      <c r="AC29" s="512"/>
      <c r="AD29" s="512"/>
      <c r="AE29" s="512"/>
      <c r="AF29" s="512"/>
      <c r="AG29" s="512"/>
      <c r="AH29" s="512"/>
      <c r="AI29" s="512"/>
      <c r="AJ29" s="512"/>
      <c r="AK29" s="512"/>
      <c r="AL29" s="512"/>
      <c r="AM29" s="512"/>
      <c r="AN29" s="512"/>
      <c r="AO29" s="512"/>
      <c r="AP29" s="512"/>
      <c r="AQ29" s="512"/>
      <c r="AR29" s="512"/>
      <c r="AS29" s="512"/>
      <c r="AT29" s="512"/>
      <c r="AU29" s="512"/>
      <c r="AV29" s="512"/>
      <c r="AW29" s="512"/>
      <c r="AX29" s="512"/>
      <c r="AY29" s="512"/>
      <c r="AZ29" s="512"/>
      <c r="BA29" s="512"/>
      <c r="BB29" s="512"/>
      <c r="BC29" s="512"/>
      <c r="BD29" s="512"/>
      <c r="BE29" s="512"/>
      <c r="BF29" s="512"/>
      <c r="BG29" s="512"/>
      <c r="BH29" s="512"/>
      <c r="BI29" s="512"/>
      <c r="BJ29" s="512"/>
      <c r="BK29" s="512"/>
      <c r="BL29" s="512"/>
      <c r="BM29" s="512"/>
      <c r="BN29" s="512"/>
      <c r="BO29" s="512"/>
      <c r="BP29" s="512"/>
      <c r="BQ29" s="512"/>
      <c r="BR29" s="512"/>
      <c r="BS29" s="512"/>
      <c r="BT29" s="512"/>
    </row>
    <row r="30" spans="2:20" ht="18" customHeight="1">
      <c r="B30" s="579"/>
      <c r="C30" s="334"/>
      <c r="D30" s="774" t="str">
        <f>R23</f>
        <v>Сумма кредита должна быть не менее 100 000 рублей</v>
      </c>
      <c r="E30" s="775"/>
      <c r="F30" s="775"/>
      <c r="G30" s="776"/>
      <c r="H30" s="561"/>
      <c r="I30" s="593"/>
      <c r="J30" s="589"/>
      <c r="K30" s="774" t="str">
        <f>S31</f>
        <v>Необходимо увеличить размер первоначального взноса до необходимого минимума - 25% от совокупной стоимости автомобиля</v>
      </c>
      <c r="L30" s="775"/>
      <c r="M30" s="775"/>
      <c r="N30" s="776"/>
      <c r="O30" s="584"/>
      <c r="P30" s="115"/>
      <c r="R30" s="222" t="s">
        <v>62</v>
      </c>
      <c r="S30" s="227"/>
      <c r="T30" s="223"/>
    </row>
    <row r="31" spans="2:20" ht="18" customHeight="1">
      <c r="B31" s="123"/>
      <c r="C31" s="589"/>
      <c r="D31" s="777"/>
      <c r="E31" s="778"/>
      <c r="F31" s="778"/>
      <c r="G31" s="779"/>
      <c r="H31" s="561"/>
      <c r="I31" s="603"/>
      <c r="J31" s="589"/>
      <c r="K31" s="777"/>
      <c r="L31" s="778"/>
      <c r="M31" s="778"/>
      <c r="N31" s="779"/>
      <c r="O31" s="584"/>
      <c r="P31" s="115"/>
      <c r="R31" s="220" t="s">
        <v>123</v>
      </c>
      <c r="S31" s="637" t="str">
        <f>IF($F$7=2,IF(F6=2,"Кредит на подержанные транспортные средства предоставляется только на автомобили Категории В",IF($M$7&lt;12,"Необходимо увеличить срок кредита. Минимальный срок кредитования - 12 месяцев",IF($M$7&gt;36,"Необходимо уменьшить срок кредита. Максимальный срок кредитования подержанных автомобилей - 36 месяцев",IF($E$10&gt;10%,"Стоимость дополнительного оборудования должна быть не более 10% от стоимости автомобиля",IF($L$10&lt;'Условия программ'!X46,"Необходимо увеличить размер первоначального взноса до необходимого минимума - 30% от совокупной стоимости автомобиля",IF($L$10&gt;70%,"Необходимо уменьшить размер первоначального взноса. Максимальный размер - 70% от совокупной стоимости автомобиля",S41)))))),S32)</f>
        <v>Необходимо увеличить размер первоначального взноса до необходимого минимума - 25% от совокупной стоимости автомобиля</v>
      </c>
      <c r="T31" s="228"/>
    </row>
    <row r="32" spans="2:20" ht="18" customHeight="1">
      <c r="B32" s="123"/>
      <c r="C32" s="589"/>
      <c r="D32" s="777"/>
      <c r="E32" s="778"/>
      <c r="F32" s="778"/>
      <c r="G32" s="779"/>
      <c r="H32" s="561"/>
      <c r="I32" s="593"/>
      <c r="J32" s="589"/>
      <c r="K32" s="777"/>
      <c r="L32" s="778"/>
      <c r="M32" s="778"/>
      <c r="N32" s="779"/>
      <c r="O32" s="584"/>
      <c r="P32" s="115"/>
      <c r="R32" s="220" t="s">
        <v>79</v>
      </c>
      <c r="S32" s="637" t="str">
        <f>IF($E$10&gt;10%,"Стоимость дополнительного оборудования должна быть не более 10% от стоимости автомобиля",IF($M$7&lt;12,"Необходимо увеличить срок кредита. Минимальный срок кредитования - 12 месяцев",IF($M$7&gt;60,"Необходимо уменьшить срок кредита. Максимальный срок кредитования - 60 месяцев",IF($L$10&lt;S33,T33,IF($L$10&gt;70%,"Необходимо уменьшить размер первоначального взноса. Максимальный размер - 70% от совокупной стоимости автомобиля",S41)))))</f>
        <v>Необходимо увеличить размер первоначального взноса до необходимого минимума - 25% от совокупной стоимости автомобиля</v>
      </c>
      <c r="T32" s="228"/>
    </row>
    <row r="33" spans="2:20" ht="18" customHeight="1" thickBot="1">
      <c r="B33" s="123"/>
      <c r="C33" s="589"/>
      <c r="D33" s="780"/>
      <c r="E33" s="781"/>
      <c r="F33" s="781"/>
      <c r="G33" s="782"/>
      <c r="H33" s="584"/>
      <c r="I33" s="592"/>
      <c r="J33" s="324"/>
      <c r="K33" s="780"/>
      <c r="L33" s="781"/>
      <c r="M33" s="781"/>
      <c r="N33" s="782"/>
      <c r="O33" s="584"/>
      <c r="P33" s="115"/>
      <c r="R33" s="220" t="s">
        <v>124</v>
      </c>
      <c r="S33" s="636">
        <f>IF($F$7=1,IF(F6=1,'Условия программ'!R45,'Условия программ'!R46),'Условия программ'!X46)</f>
        <v>0.25</v>
      </c>
      <c r="T33" s="636" t="str">
        <f>IF(F6=1,IF($L$10&lt;'Условия программ'!R45,"Необходимо увеличить размер первоначального взноса до необходимого минимума - 25% от совокупной стоимости автомобиля",""),IF(L10&lt;'Условия программ'!R46,"Необходимо увеличить размер первоначального взноса до необходимого минимума - 40% от совокупной стоимости автомобиля",""))</f>
        <v>Необходимо увеличить размер первоначального взноса до необходимого минимума - 25% от совокупной стоимости автомобиля</v>
      </c>
    </row>
    <row r="34" spans="2:19" ht="9" customHeight="1" thickBot="1">
      <c r="B34" s="123"/>
      <c r="C34" s="601"/>
      <c r="D34" s="578"/>
      <c r="E34" s="578"/>
      <c r="F34" s="578"/>
      <c r="G34" s="290"/>
      <c r="H34" s="600"/>
      <c r="I34" s="324"/>
      <c r="J34" s="590"/>
      <c r="K34" s="290"/>
      <c r="L34" s="583"/>
      <c r="M34" s="583"/>
      <c r="N34" s="290"/>
      <c r="O34" s="585"/>
      <c r="P34" s="115"/>
      <c r="R34" s="406" t="s">
        <v>125</v>
      </c>
      <c r="S34" s="641" t="str">
        <f>IF(M7&gt;60,"При кредитовании свыше 60 месяцев предоставление документов, подтверждающих доходы, обязательно",S41)</f>
        <v>Сумма кредита (заявленная) должна быть не менее 100 000 рублей</v>
      </c>
    </row>
    <row r="35" spans="2:19" ht="9" customHeight="1" thickBot="1">
      <c r="B35" s="133"/>
      <c r="C35" s="134"/>
      <c r="D35" s="581"/>
      <c r="E35" s="581"/>
      <c r="F35" s="581"/>
      <c r="G35" s="582"/>
      <c r="H35" s="582"/>
      <c r="I35" s="135"/>
      <c r="J35" s="135"/>
      <c r="K35" s="582"/>
      <c r="L35" s="135"/>
      <c r="M35" s="135"/>
      <c r="N35" s="582"/>
      <c r="O35" s="581"/>
      <c r="P35" s="136"/>
      <c r="R35" s="405" t="s">
        <v>126</v>
      </c>
      <c r="S35" s="641"/>
    </row>
    <row r="36" spans="2:19" ht="18" customHeight="1">
      <c r="B36" s="614"/>
      <c r="C36" s="614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R36" s="405" t="s">
        <v>82</v>
      </c>
      <c r="S36" s="641" t="str">
        <f>IF(M7&gt;60,"Кредит до 7 лет предоставляется при стоимости автомобиля 1 000 000 рублей и выше",T42)</f>
        <v>Сумма кредита (заявленная) должна быть не менее 100 000 рублей</v>
      </c>
    </row>
    <row r="37" spans="2:19" ht="16.5" customHeight="1">
      <c r="B37" s="230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R37" s="405" t="s">
        <v>49</v>
      </c>
      <c r="S37" s="641">
        <f>IF($M$7&gt;60,"Кредит до 7 лет предоставляется при стоимости автомобиля 30 000 долларов США и выше",T43)</f>
      </c>
    </row>
    <row r="38" spans="2:19" ht="16.5" customHeight="1">
      <c r="B38" s="230" t="s">
        <v>84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R38" s="405"/>
      <c r="S38" s="641"/>
    </row>
    <row r="39" spans="2:19" ht="16.5" customHeight="1">
      <c r="B39" s="216" t="s">
        <v>156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R39" s="405"/>
      <c r="S39" s="641"/>
    </row>
    <row r="40" spans="2:19" ht="16.5" customHeight="1"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R40" s="413" t="s">
        <v>36</v>
      </c>
      <c r="S40" s="641">
        <f>IF($M$7&gt;60,"Кредит до 7 лет предоставляется при стоимости автомобиля 27 000 евро и выше",T44)</f>
      </c>
    </row>
    <row r="41" spans="2:20" ht="15.75"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R41" s="220" t="s">
        <v>122</v>
      </c>
      <c r="S41" s="637" t="str">
        <f>IF($M$6=1,S42,IF($M$6=2,S43,S44))</f>
        <v>Сумма кредита (заявленная) должна быть не менее 100 000 рублей</v>
      </c>
      <c r="T41" s="417"/>
    </row>
    <row r="42" spans="2:20" ht="15.75"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R42" s="220" t="s">
        <v>82</v>
      </c>
      <c r="S42" s="637" t="str">
        <f>IF($M$17&lt;'Условия программ'!Q59,"Сумма кредита (заявленная) должна быть не менее 100 000 рублей",IF($M$21&gt;'Условия программ'!Y59,"Итоговая сумма кредита должна быть не более 1 500 000 рублей",""))</f>
        <v>Сумма кредита (заявленная) должна быть не менее 100 000 рублей</v>
      </c>
      <c r="T42" s="641" t="str">
        <f>IF($M$17&lt;'Условия программ'!$S$17,"Сумма кредита (заявленная) должна быть не менее 100 000 рублей",IF($M$21&gt;'Условия программ'!$Y$17,"Итоговая сумма кредита должна быть не более 1 500 000 рублей",""))</f>
        <v>Сумма кредита (заявленная) должна быть не менее 100 000 рублей</v>
      </c>
    </row>
    <row r="43" spans="2:20" ht="15.75"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R43" s="220" t="s">
        <v>49</v>
      </c>
      <c r="S43" s="637">
        <f>IF($M$17&lt;'Условия программ'!Q60,"Сумма кредита (заявленная) должна быть не менее 100 000 рублей (эквивалент данной суммы в долларах США по курсу ЦБ РФ)",IF($M$21&gt;'Условия программ'!Y60,"Итоговая сумма кредита должна быть не более 1 500 000 рублей (эквивалент данной суммы в долларах США по курсу ЦБ РФ)",""))</f>
      </c>
      <c r="T43" s="641">
        <f>IF($M$17&lt;'Условия программ'!$S$18,"Сумма кредита (заявленная) должна быть не менее 100 000 рублей (эквивалент суммы в долларах США по курсу ЦБ РФ)",IF($M$21&gt;'Условия программ'!$Y$18,"Итоговая сумма кредита должна быть не более 1500 000 рублей (эквивалент суммы в долларах США по курсу ЦБ РФ)",""))</f>
      </c>
    </row>
    <row r="44" spans="2:20" ht="15.75"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R44" s="220" t="s">
        <v>36</v>
      </c>
      <c r="S44" s="640">
        <f>IF($M$17&lt;'Условия программ'!Q61,"Сумма кредита (заявленная) должна быть не менее 100 000 рублей (эквивалент данной суммы в евро по курсу ЦБ РФ)",IF($M$21&gt;'Условия программ'!Y61,"Итоговая сумма кредита должна быть не более 1 500 000 рублей (эквивалент данной суммы в евро по курсу ЦБ РФ)",""))</f>
      </c>
      <c r="T44" s="642">
        <f>IF($M$17&lt;'Условия программ'!$S$19,"Сумма кредита (заявленная) должна быть не менее 100 000 рублей (эквивалент суммы в евро по курсу ЦБ РФ)",IF($M$21&gt;'Условия программ'!$Y$19,"Итоговая сумма кредита должна быть не более 1 500 000 рублей (эквивалент суммы в евро по курсу ЦБ РФ)",""))</f>
      </c>
    </row>
    <row r="45" spans="2:22" ht="15.75"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R45" s="611" t="s">
        <v>127</v>
      </c>
      <c r="S45" s="227"/>
      <c r="T45" s="227"/>
      <c r="U45" s="227"/>
      <c r="V45" s="223"/>
    </row>
    <row r="46" spans="2:22" ht="15.75"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R46" s="612" t="s">
        <v>79</v>
      </c>
      <c r="S46" s="613"/>
      <c r="T46" s="613" t="s">
        <v>80</v>
      </c>
      <c r="U46" s="221"/>
      <c r="V46" s="228"/>
    </row>
    <row r="47" spans="2:22" ht="15.75"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R47" s="220" t="s">
        <v>30</v>
      </c>
      <c r="S47" s="643">
        <f>IF(M11=1,'Условия программ'!R48,'Условия программ'!Q48)</f>
        <v>0.135</v>
      </c>
      <c r="T47" s="221" t="s">
        <v>129</v>
      </c>
      <c r="U47" s="643">
        <f>IF(M11=1,'Условия программ'!X48,'Условия программ'!W48)</f>
        <v>0.155</v>
      </c>
      <c r="V47" s="228"/>
    </row>
    <row r="48" spans="2:22" ht="15.75"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R48" s="220" t="s">
        <v>128</v>
      </c>
      <c r="S48" s="643">
        <f>IF(M11=1,'Условия программ'!R55,'Условия программ'!Q55)</f>
        <v>0.125</v>
      </c>
      <c r="T48" s="220" t="s">
        <v>128</v>
      </c>
      <c r="U48" s="643">
        <f>IF(M11=1,'Условия программ'!X55,'Условия программ'!W55)</f>
        <v>0.145</v>
      </c>
      <c r="V48" s="228"/>
    </row>
    <row r="49" spans="2:22" ht="15.75"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R49" s="226"/>
      <c r="S49" s="609"/>
      <c r="T49" s="609"/>
      <c r="U49" s="609"/>
      <c r="V49" s="229"/>
    </row>
    <row r="50" spans="2:18" ht="15.75"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</row>
    <row r="51" spans="2:18" ht="15.75"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</row>
    <row r="52" spans="2:18" ht="15.75"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</row>
    <row r="53" spans="2:18" ht="15.75"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</row>
    <row r="54" spans="2:18" ht="15.75"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</row>
    <row r="55" spans="2:18" ht="15.75"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</row>
    <row r="56" spans="2:18" ht="15.75"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</row>
    <row r="57" spans="2:18" ht="15.75"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</row>
    <row r="58" spans="2:18" ht="15.75"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</row>
    <row r="59" spans="2:18" ht="15.75"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</row>
    <row r="60" spans="2:18" ht="15.75"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</row>
    <row r="61" spans="2:18" ht="15.75"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</row>
    <row r="62" spans="2:18" ht="15.75"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</row>
    <row r="63" spans="2:18" ht="15.75"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</row>
    <row r="64" spans="2:18" ht="15.75"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</row>
    <row r="65" spans="2:18" ht="15.75"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</row>
    <row r="66" spans="2:18" ht="15.75"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</row>
    <row r="67" spans="2:18" ht="15.75"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</row>
    <row r="68" spans="2:18" ht="15.75"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</row>
    <row r="69" spans="2:18" ht="15.75"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</row>
    <row r="70" spans="2:18" ht="15.75"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</row>
    <row r="71" spans="2:18" ht="15.75"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</row>
    <row r="72" spans="2:18" ht="15.75"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</row>
    <row r="73" spans="2:18" ht="15.75"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</row>
    <row r="74" spans="2:18" ht="15.75"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</row>
    <row r="75" spans="2:18" ht="15.75"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</row>
    <row r="76" spans="2:18" ht="15.75"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</row>
    <row r="77" spans="2:18" ht="15.75">
      <c r="B77" s="216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</row>
    <row r="78" spans="2:18" ht="15.75"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</row>
    <row r="79" spans="2:18" ht="15.75"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</row>
    <row r="80" spans="2:18" ht="15.75"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</row>
    <row r="81" spans="2:18" ht="15.75"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</row>
    <row r="82" spans="2:18" ht="15.75"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</row>
    <row r="83" spans="2:18" ht="15.75"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</row>
    <row r="84" spans="2:18" ht="15.75"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</row>
    <row r="85" spans="2:18" ht="15.75"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</row>
    <row r="86" spans="2:18" ht="15.75"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</row>
    <row r="87" spans="2:18" ht="15.75"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</row>
    <row r="88" spans="2:18" ht="15.75">
      <c r="B88" s="216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</row>
    <row r="89" spans="2:18" ht="15.75">
      <c r="B89" s="216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</row>
    <row r="90" spans="2:18" ht="15.75"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</row>
    <row r="91" spans="2:18" ht="15.75">
      <c r="B91" s="216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</row>
    <row r="92" spans="2:18" ht="15.75"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</row>
    <row r="93" spans="2:18" ht="15.75">
      <c r="B93" s="216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</row>
    <row r="94" spans="2:18" ht="15.75">
      <c r="B94" s="216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</row>
    <row r="95" spans="2:18" ht="15.75">
      <c r="B95" s="216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</row>
    <row r="96" spans="2:18" ht="15.75">
      <c r="B96" s="216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</row>
    <row r="97" spans="2:18" ht="15.75">
      <c r="B97" s="216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</row>
    <row r="98" spans="2:18" ht="15.75">
      <c r="B98" s="21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</row>
    <row r="99" spans="2:18" ht="15.75">
      <c r="B99" s="216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</row>
    <row r="100" spans="2:18" ht="15.75">
      <c r="B100" s="216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</row>
    <row r="101" spans="2:18" ht="15.75">
      <c r="B101" s="216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</row>
    <row r="102" spans="2:18" ht="15.75">
      <c r="B102" s="216"/>
      <c r="C102" s="216"/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</row>
    <row r="103" spans="2:18" ht="15.75"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</row>
    <row r="104" spans="2:18" ht="15.75">
      <c r="B104" s="216"/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</row>
    <row r="105" spans="2:18" ht="15.75"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</row>
    <row r="106" spans="2:18" ht="15.75">
      <c r="B106" s="216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</row>
    <row r="107" spans="2:18" ht="15.75">
      <c r="B107" s="216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</row>
    <row r="108" spans="2:18" ht="15.75">
      <c r="B108" s="216"/>
      <c r="C108" s="216"/>
      <c r="D108" s="216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</row>
    <row r="109" spans="2:18" ht="15.75">
      <c r="B109" s="216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</row>
    <row r="110" spans="2:18" ht="15.75">
      <c r="B110" s="216"/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</row>
    <row r="111" spans="2:18" ht="15.75"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</row>
    <row r="112" spans="2:18" ht="15.75">
      <c r="B112" s="216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</row>
    <row r="113" spans="2:18" ht="15.75">
      <c r="B113" s="216"/>
      <c r="C113" s="216"/>
      <c r="D113" s="216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</row>
    <row r="114" spans="2:18" ht="15.75">
      <c r="B114" s="216"/>
      <c r="C114" s="216"/>
      <c r="D114" s="216"/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</row>
    <row r="115" spans="2:18" ht="15.75">
      <c r="B115" s="216"/>
      <c r="C115" s="216"/>
      <c r="D115" s="216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</row>
    <row r="116" spans="2:18" ht="15.75">
      <c r="B116" s="216"/>
      <c r="C116" s="216"/>
      <c r="D116" s="216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</row>
    <row r="117" spans="2:18" ht="15.75">
      <c r="B117" s="216"/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</row>
    <row r="118" spans="2:18" ht="15.75">
      <c r="B118" s="216"/>
      <c r="C118" s="216"/>
      <c r="D118" s="216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</row>
    <row r="119" spans="2:18" ht="15.75">
      <c r="B119" s="216"/>
      <c r="C119" s="216"/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</row>
    <row r="120" spans="2:18" ht="15.75"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</row>
    <row r="121" spans="2:18" ht="15.75"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</row>
    <row r="122" spans="2:18" ht="15.75"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</row>
    <row r="123" spans="2:18" ht="15.75"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</row>
    <row r="124" spans="2:18" ht="15.75">
      <c r="B124" s="216"/>
      <c r="C124" s="216"/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</row>
    <row r="125" spans="2:18" ht="15.75">
      <c r="B125" s="216"/>
      <c r="C125" s="216"/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</row>
    <row r="126" spans="2:18" ht="15.75">
      <c r="B126" s="216"/>
      <c r="C126" s="216"/>
      <c r="D126" s="216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</row>
    <row r="127" spans="2:18" ht="15.75">
      <c r="B127" s="216"/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</row>
    <row r="128" spans="2:18" ht="15.75">
      <c r="B128" s="216"/>
      <c r="C128" s="216"/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</row>
    <row r="129" spans="2:18" ht="15.75">
      <c r="B129" s="216"/>
      <c r="C129" s="216"/>
      <c r="D129" s="216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</row>
    <row r="130" spans="2:18" ht="15.75">
      <c r="B130" s="216"/>
      <c r="C130" s="216"/>
      <c r="D130" s="216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</row>
    <row r="131" spans="2:18" ht="15.75">
      <c r="B131" s="216"/>
      <c r="C131" s="216"/>
      <c r="D131" s="216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</row>
    <row r="132" spans="2:18" ht="15.75">
      <c r="B132" s="216"/>
      <c r="C132" s="216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</row>
    <row r="133" spans="2:18" ht="15.75"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</row>
    <row r="134" spans="2:18" ht="15.75"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</row>
    <row r="135" spans="2:18" ht="15.75"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</row>
    <row r="136" spans="2:18" ht="15.75"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</row>
    <row r="137" spans="2:18" ht="15.75"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</row>
    <row r="138" spans="2:18" ht="15.75"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</row>
    <row r="139" spans="2:18" ht="15.75"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</row>
    <row r="140" spans="2:18" ht="15.75"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</row>
    <row r="141" spans="2:18" ht="15.75"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</row>
    <row r="142" spans="2:18" ht="15.75"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</row>
    <row r="143" spans="2:18" ht="15.75"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</row>
    <row r="144" spans="2:18" ht="15.75"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</row>
    <row r="145" spans="2:18" ht="15.75"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</row>
    <row r="146" spans="2:18" ht="15.75"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</row>
    <row r="147" spans="2:18" ht="15.75"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</row>
    <row r="148" spans="2:18" ht="15.75"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</row>
    <row r="149" spans="2:18" ht="15.75"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</row>
    <row r="150" spans="2:18" ht="15.75"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</row>
    <row r="151" spans="2:18" ht="15.75">
      <c r="B151" s="216"/>
      <c r="C151" s="216"/>
      <c r="D151" s="216"/>
      <c r="E151" s="216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</row>
    <row r="152" spans="2:18" ht="15.75">
      <c r="B152" s="216"/>
      <c r="C152" s="216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</row>
    <row r="153" spans="2:18" ht="15.75">
      <c r="B153" s="216"/>
      <c r="C153" s="216"/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</row>
    <row r="154" spans="2:18" ht="15.75"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</row>
    <row r="155" spans="2:18" ht="15.75"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</row>
    <row r="156" spans="2:18" ht="15.75">
      <c r="B156" s="216"/>
      <c r="C156" s="216"/>
      <c r="D156" s="216"/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</row>
    <row r="157" spans="2:18" ht="15.75">
      <c r="B157" s="216"/>
      <c r="C157" s="21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</row>
    <row r="158" spans="2:18" ht="15.75">
      <c r="B158" s="216"/>
      <c r="C158" s="216"/>
      <c r="D158" s="216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</row>
    <row r="159" spans="2:18" ht="15.75">
      <c r="B159" s="216"/>
      <c r="C159" s="216"/>
      <c r="D159" s="216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</row>
    <row r="160" spans="2:18" ht="15.75">
      <c r="B160" s="216"/>
      <c r="C160" s="216"/>
      <c r="D160" s="216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</row>
    <row r="161" spans="2:18" ht="15.75">
      <c r="B161" s="216"/>
      <c r="C161" s="216"/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</row>
    <row r="162" spans="2:18" ht="15.75">
      <c r="B162" s="216"/>
      <c r="C162" s="216"/>
      <c r="D162" s="216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</row>
    <row r="163" spans="2:18" ht="15.75">
      <c r="B163" s="216"/>
      <c r="C163" s="216"/>
      <c r="D163" s="216"/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</row>
    <row r="164" spans="2:18" ht="15.75">
      <c r="B164" s="216"/>
      <c r="C164" s="216"/>
      <c r="D164" s="216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</row>
    <row r="165" spans="2:18" ht="15.75">
      <c r="B165" s="216"/>
      <c r="C165" s="216"/>
      <c r="D165" s="216"/>
      <c r="E165" s="216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  <c r="R165" s="216"/>
    </row>
    <row r="166" spans="2:18" ht="15.75">
      <c r="B166" s="216"/>
      <c r="C166" s="216"/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</row>
    <row r="167" spans="2:18" ht="15.75">
      <c r="B167" s="216"/>
      <c r="C167" s="216"/>
      <c r="D167" s="216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</row>
    <row r="168" spans="2:18" ht="15.75">
      <c r="B168" s="216"/>
      <c r="C168" s="216"/>
      <c r="D168" s="216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</row>
    <row r="169" spans="2:18" ht="15.75">
      <c r="B169" s="216"/>
      <c r="C169" s="216"/>
      <c r="D169" s="216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</row>
    <row r="170" spans="2:18" ht="15.75">
      <c r="B170" s="216"/>
      <c r="C170" s="216"/>
      <c r="D170" s="216"/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</row>
    <row r="171" spans="2:18" ht="15.75">
      <c r="B171" s="216"/>
      <c r="C171" s="216"/>
      <c r="D171" s="216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</row>
    <row r="172" spans="2:18" ht="15.75">
      <c r="B172" s="216"/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</row>
    <row r="173" spans="2:18" ht="15.75">
      <c r="B173" s="216"/>
      <c r="C173" s="216"/>
      <c r="D173" s="216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</row>
    <row r="174" spans="2:18" ht="15.75">
      <c r="B174" s="216"/>
      <c r="C174" s="216"/>
      <c r="D174" s="216"/>
      <c r="E174" s="216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</row>
    <row r="175" spans="2:18" ht="15.75">
      <c r="B175" s="216"/>
      <c r="C175" s="216"/>
      <c r="D175" s="216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</row>
    <row r="176" spans="2:18" ht="15.75">
      <c r="B176" s="216"/>
      <c r="C176" s="216"/>
      <c r="D176" s="216"/>
      <c r="E176" s="216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</row>
    <row r="177" spans="2:18" ht="15.75">
      <c r="B177" s="216"/>
      <c r="C177" s="216"/>
      <c r="D177" s="216"/>
      <c r="E177" s="216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</row>
    <row r="178" spans="2:18" ht="15.75">
      <c r="B178" s="216"/>
      <c r="C178" s="216"/>
      <c r="D178" s="216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</row>
    <row r="179" spans="2:18" ht="15.75">
      <c r="B179" s="216"/>
      <c r="C179" s="216"/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  <c r="R179" s="216"/>
    </row>
    <row r="180" spans="2:18" ht="15.75">
      <c r="B180" s="216"/>
      <c r="C180" s="216"/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</row>
    <row r="181" spans="2:18" ht="15.75">
      <c r="B181" s="216"/>
      <c r="C181" s="216"/>
      <c r="D181" s="216"/>
      <c r="E181" s="216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  <c r="R181" s="216"/>
    </row>
    <row r="182" spans="2:18" ht="15.75">
      <c r="B182" s="216"/>
      <c r="C182" s="216"/>
      <c r="D182" s="216"/>
      <c r="E182" s="216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</row>
    <row r="183" spans="2:18" ht="15.75">
      <c r="B183" s="216"/>
      <c r="C183" s="216"/>
      <c r="D183" s="216"/>
      <c r="E183" s="216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  <c r="R183" s="216"/>
    </row>
    <row r="184" spans="2:18" ht="15.75">
      <c r="B184" s="216"/>
      <c r="C184" s="216"/>
      <c r="D184" s="216"/>
      <c r="E184" s="216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</row>
    <row r="185" spans="2:18" ht="15.75">
      <c r="B185" s="216"/>
      <c r="C185" s="216"/>
      <c r="D185" s="216"/>
      <c r="E185" s="216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</row>
    <row r="186" spans="2:18" ht="15.75">
      <c r="B186" s="216"/>
      <c r="C186" s="216"/>
      <c r="D186" s="216"/>
      <c r="E186" s="216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</row>
    <row r="187" spans="2:18" ht="15.75">
      <c r="B187" s="216"/>
      <c r="C187" s="216"/>
      <c r="D187" s="216"/>
      <c r="E187" s="216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</row>
    <row r="188" spans="2:18" ht="15.75">
      <c r="B188" s="216"/>
      <c r="C188" s="216"/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</row>
    <row r="189" spans="2:18" ht="15.75">
      <c r="B189" s="216"/>
      <c r="C189" s="216"/>
      <c r="D189" s="216"/>
      <c r="E189" s="216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  <c r="R189" s="216"/>
    </row>
    <row r="190" spans="2:18" ht="15.75">
      <c r="B190" s="216"/>
      <c r="C190" s="216"/>
      <c r="D190" s="216"/>
      <c r="E190" s="216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</row>
    <row r="191" spans="2:18" ht="15.75">
      <c r="B191" s="216"/>
      <c r="C191" s="216"/>
      <c r="D191" s="216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</row>
    <row r="192" spans="2:18" ht="15.75">
      <c r="B192" s="216"/>
      <c r="C192" s="216"/>
      <c r="D192" s="216"/>
      <c r="E192" s="216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  <c r="R192" s="216"/>
    </row>
    <row r="193" spans="2:18" ht="15.75">
      <c r="B193" s="216"/>
      <c r="C193" s="216"/>
      <c r="D193" s="216"/>
      <c r="E193" s="216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  <c r="R193" s="216"/>
    </row>
    <row r="194" spans="2:18" ht="15.75">
      <c r="B194" s="216"/>
      <c r="C194" s="216"/>
      <c r="D194" s="216"/>
      <c r="E194" s="216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</row>
    <row r="195" spans="2:18" ht="15.75">
      <c r="B195" s="216"/>
      <c r="C195" s="216"/>
      <c r="D195" s="216"/>
      <c r="E195" s="216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</row>
    <row r="196" spans="2:18" ht="15.75">
      <c r="B196" s="216"/>
      <c r="C196" s="216"/>
      <c r="D196" s="216"/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  <c r="R196" s="216"/>
    </row>
    <row r="197" spans="2:18" ht="15.75">
      <c r="B197" s="216"/>
      <c r="C197" s="216"/>
      <c r="D197" s="216"/>
      <c r="E197" s="216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  <c r="R197" s="216"/>
    </row>
    <row r="198" spans="2:18" ht="15.75">
      <c r="B198" s="216"/>
      <c r="C198" s="216"/>
      <c r="D198" s="216"/>
      <c r="E198" s="216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  <c r="R198" s="216"/>
    </row>
    <row r="199" spans="2:18" ht="15.75">
      <c r="B199" s="216"/>
      <c r="C199" s="216"/>
      <c r="D199" s="216"/>
      <c r="E199" s="216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</row>
    <row r="200" spans="2:18" ht="15.75">
      <c r="B200" s="216"/>
      <c r="C200" s="216"/>
      <c r="D200" s="216"/>
      <c r="E200" s="216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  <c r="R200" s="216"/>
    </row>
    <row r="201" spans="2:18" ht="15.75">
      <c r="B201" s="216"/>
      <c r="C201" s="216"/>
      <c r="D201" s="216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  <c r="R201" s="216"/>
    </row>
    <row r="202" spans="2:18" ht="15.75">
      <c r="B202" s="216"/>
      <c r="C202" s="216"/>
      <c r="D202" s="216"/>
      <c r="E202" s="216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</row>
    <row r="203" spans="2:18" ht="15.75">
      <c r="B203" s="216"/>
      <c r="C203" s="216"/>
      <c r="D203" s="216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</row>
    <row r="204" spans="2:18" ht="15.75">
      <c r="B204" s="216"/>
      <c r="C204" s="216"/>
      <c r="D204" s="216"/>
      <c r="E204" s="216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</row>
    <row r="205" spans="2:18" ht="15.75"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</row>
    <row r="206" spans="2:18" ht="15.75"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</row>
    <row r="207" spans="2:18" ht="15.75">
      <c r="B207" s="216"/>
      <c r="C207" s="216"/>
      <c r="D207" s="216"/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  <c r="R207" s="216"/>
    </row>
    <row r="208" spans="2:18" ht="15.75">
      <c r="B208" s="216"/>
      <c r="C208" s="216"/>
      <c r="D208" s="216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</row>
    <row r="209" spans="2:18" ht="15.75">
      <c r="B209" s="216"/>
      <c r="C209" s="216"/>
      <c r="D209" s="216"/>
      <c r="E209" s="216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</row>
    <row r="210" spans="2:18" ht="15.75">
      <c r="B210" s="216"/>
      <c r="C210" s="216"/>
      <c r="D210" s="216"/>
      <c r="E210" s="216"/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</row>
    <row r="211" spans="2:18" ht="15.75">
      <c r="B211" s="216"/>
      <c r="C211" s="216"/>
      <c r="D211" s="216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</row>
    <row r="212" spans="2:18" ht="15.75">
      <c r="B212" s="216"/>
      <c r="C212" s="216"/>
      <c r="D212" s="216"/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</row>
    <row r="213" spans="2:18" ht="15.75">
      <c r="B213" s="216"/>
      <c r="C213" s="216"/>
      <c r="D213" s="216"/>
      <c r="E213" s="216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</row>
    <row r="214" spans="2:18" ht="15.75"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  <c r="R214" s="216"/>
    </row>
    <row r="215" spans="2:18" ht="15.75"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</row>
    <row r="216" spans="2:18" ht="15.75"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  <c r="R216" s="216"/>
    </row>
    <row r="217" spans="2:18" ht="15.75">
      <c r="B217" s="216"/>
      <c r="C217" s="216"/>
      <c r="D217" s="216"/>
      <c r="E217" s="216"/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</row>
    <row r="218" spans="2:18" ht="15.75">
      <c r="B218" s="216"/>
      <c r="C218" s="216"/>
      <c r="D218" s="216"/>
      <c r="E218" s="216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</row>
    <row r="219" spans="2:18" ht="15.75">
      <c r="B219" s="216"/>
      <c r="C219" s="216"/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</row>
    <row r="220" spans="2:18" ht="15.75">
      <c r="B220" s="216"/>
      <c r="C220" s="216"/>
      <c r="D220" s="216"/>
      <c r="E220" s="216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  <c r="R220" s="216"/>
    </row>
    <row r="221" spans="2:18" ht="15.75">
      <c r="B221" s="216"/>
      <c r="C221" s="216"/>
      <c r="D221" s="216"/>
      <c r="E221" s="216"/>
      <c r="F221" s="216"/>
      <c r="G221" s="216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  <c r="R221" s="216"/>
    </row>
    <row r="222" spans="2:18" ht="15.75">
      <c r="B222" s="216"/>
      <c r="C222" s="216"/>
      <c r="D222" s="216"/>
      <c r="E222" s="216"/>
      <c r="F222" s="216"/>
      <c r="G222" s="216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  <c r="R222" s="216"/>
    </row>
    <row r="223" spans="2:18" ht="15.75">
      <c r="B223" s="216"/>
      <c r="C223" s="216"/>
      <c r="D223" s="216"/>
      <c r="E223" s="216"/>
      <c r="F223" s="216"/>
      <c r="G223" s="216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  <c r="R223" s="216"/>
    </row>
    <row r="224" spans="2:18" ht="15.75">
      <c r="B224" s="216"/>
      <c r="C224" s="216"/>
      <c r="D224" s="216"/>
      <c r="E224" s="216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  <c r="R224" s="216"/>
    </row>
    <row r="225" spans="2:18" ht="15.75">
      <c r="B225" s="216"/>
      <c r="C225" s="216"/>
      <c r="D225" s="216"/>
      <c r="E225" s="216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</row>
    <row r="226" spans="2:18" ht="15.75">
      <c r="B226" s="216"/>
      <c r="C226" s="216"/>
      <c r="D226" s="216"/>
      <c r="E226" s="216"/>
      <c r="F226" s="216"/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  <c r="R226" s="216"/>
    </row>
    <row r="227" spans="2:18" ht="15.75">
      <c r="B227" s="216"/>
      <c r="C227" s="216"/>
      <c r="D227" s="216"/>
      <c r="E227" s="216"/>
      <c r="F227" s="216"/>
      <c r="G227" s="216"/>
      <c r="H227" s="216"/>
      <c r="I227" s="216"/>
      <c r="J227" s="216"/>
      <c r="K227" s="216"/>
      <c r="L227" s="216"/>
      <c r="M227" s="216"/>
      <c r="N227" s="216"/>
      <c r="O227" s="216"/>
      <c r="P227" s="216"/>
      <c r="Q227" s="216"/>
      <c r="R227" s="216"/>
    </row>
    <row r="228" spans="2:18" ht="15.75">
      <c r="B228" s="216"/>
      <c r="C228" s="216"/>
      <c r="D228" s="216"/>
      <c r="E228" s="216"/>
      <c r="F228" s="216"/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  <c r="R228" s="216"/>
    </row>
    <row r="229" spans="2:18" ht="15.75">
      <c r="B229" s="216"/>
      <c r="C229" s="216"/>
      <c r="D229" s="216"/>
      <c r="E229" s="216"/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  <c r="R229" s="216"/>
    </row>
    <row r="230" spans="2:18" ht="15.75">
      <c r="B230" s="216"/>
      <c r="C230" s="216"/>
      <c r="D230" s="216"/>
      <c r="E230" s="216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</row>
    <row r="231" spans="2:18" ht="15.75">
      <c r="B231" s="216"/>
      <c r="C231" s="216"/>
      <c r="D231" s="216"/>
      <c r="E231" s="216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</row>
    <row r="232" spans="2:18" ht="15.75">
      <c r="B232" s="216"/>
      <c r="C232" s="216"/>
      <c r="D232" s="216"/>
      <c r="E232" s="216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  <c r="R232" s="216"/>
    </row>
    <row r="233" spans="2:18" ht="15.75">
      <c r="B233" s="216"/>
      <c r="C233" s="216"/>
      <c r="D233" s="216"/>
      <c r="E233" s="216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  <c r="R233" s="216"/>
    </row>
    <row r="234" spans="2:18" ht="15.75">
      <c r="B234" s="216"/>
      <c r="C234" s="216"/>
      <c r="D234" s="216"/>
      <c r="E234" s="216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  <c r="R234" s="216"/>
    </row>
    <row r="235" spans="2:18" ht="15.75">
      <c r="B235" s="216"/>
      <c r="C235" s="216"/>
      <c r="D235" s="216"/>
      <c r="E235" s="216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  <c r="R235" s="216"/>
    </row>
    <row r="236" spans="2:18" ht="15.75">
      <c r="B236" s="216"/>
      <c r="C236" s="216"/>
      <c r="D236" s="216"/>
      <c r="E236" s="216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  <c r="R236" s="216"/>
    </row>
    <row r="237" spans="2:18" ht="15.75">
      <c r="B237" s="216"/>
      <c r="C237" s="216"/>
      <c r="D237" s="216"/>
      <c r="E237" s="216"/>
      <c r="F237" s="216"/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  <c r="R237" s="216"/>
    </row>
    <row r="238" spans="2:18" ht="15.75">
      <c r="B238" s="216"/>
      <c r="C238" s="216"/>
      <c r="D238" s="216"/>
      <c r="E238" s="216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  <c r="R238" s="216"/>
    </row>
    <row r="239" spans="2:18" ht="15.75">
      <c r="B239" s="216"/>
      <c r="C239" s="216"/>
      <c r="D239" s="216"/>
      <c r="E239" s="216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</row>
    <row r="240" spans="2:18" ht="15.75">
      <c r="B240" s="216"/>
      <c r="C240" s="216"/>
      <c r="D240" s="216"/>
      <c r="E240" s="216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</row>
    <row r="241" spans="2:18" ht="15.75">
      <c r="B241" s="216"/>
      <c r="C241" s="216"/>
      <c r="D241" s="216"/>
      <c r="E241" s="216"/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</row>
    <row r="242" spans="2:18" ht="15.75">
      <c r="B242" s="216"/>
      <c r="C242" s="216"/>
      <c r="D242" s="216"/>
      <c r="E242" s="216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</row>
    <row r="243" spans="2:18" ht="15.75">
      <c r="B243" s="216"/>
      <c r="C243" s="216"/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</row>
    <row r="244" spans="2:18" ht="15.75">
      <c r="B244" s="216"/>
      <c r="C244" s="216"/>
      <c r="D244" s="216"/>
      <c r="E244" s="216"/>
      <c r="F244" s="216"/>
      <c r="G244" s="216"/>
      <c r="H244" s="216"/>
      <c r="I244" s="216"/>
      <c r="J244" s="216"/>
      <c r="K244" s="216"/>
      <c r="L244" s="216"/>
      <c r="M244" s="216"/>
      <c r="N244" s="216"/>
      <c r="O244" s="216"/>
      <c r="P244" s="216"/>
      <c r="Q244" s="216"/>
      <c r="R244" s="216"/>
    </row>
    <row r="245" spans="2:18" ht="15.75">
      <c r="B245" s="216"/>
      <c r="C245" s="216"/>
      <c r="D245" s="216"/>
      <c r="E245" s="216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  <c r="R245" s="216"/>
    </row>
    <row r="246" spans="2:18" ht="15.75">
      <c r="B246" s="216"/>
      <c r="C246" s="216"/>
      <c r="D246" s="216"/>
      <c r="E246" s="216"/>
      <c r="F246" s="216"/>
      <c r="G246" s="216"/>
      <c r="H246" s="216"/>
      <c r="I246" s="216"/>
      <c r="J246" s="216"/>
      <c r="K246" s="216"/>
      <c r="L246" s="216"/>
      <c r="M246" s="216"/>
      <c r="N246" s="216"/>
      <c r="O246" s="216"/>
      <c r="P246" s="216"/>
      <c r="Q246" s="216"/>
      <c r="R246" s="216"/>
    </row>
    <row r="247" spans="2:18" ht="15.75">
      <c r="B247" s="216"/>
      <c r="C247" s="216"/>
      <c r="D247" s="216"/>
      <c r="E247" s="216"/>
      <c r="F247" s="216"/>
      <c r="G247" s="216"/>
      <c r="H247" s="216"/>
      <c r="I247" s="216"/>
      <c r="J247" s="216"/>
      <c r="K247" s="216"/>
      <c r="L247" s="216"/>
      <c r="M247" s="216"/>
      <c r="N247" s="216"/>
      <c r="O247" s="216"/>
      <c r="P247" s="216"/>
      <c r="Q247" s="216"/>
      <c r="R247" s="216"/>
    </row>
    <row r="248" spans="2:18" ht="15.75">
      <c r="B248" s="216"/>
      <c r="C248" s="216"/>
      <c r="D248" s="216"/>
      <c r="E248" s="216"/>
      <c r="F248" s="216"/>
      <c r="G248" s="216"/>
      <c r="H248" s="216"/>
      <c r="I248" s="216"/>
      <c r="J248" s="216"/>
      <c r="K248" s="216"/>
      <c r="L248" s="216"/>
      <c r="M248" s="216"/>
      <c r="N248" s="216"/>
      <c r="O248" s="216"/>
      <c r="P248" s="216"/>
      <c r="Q248" s="216"/>
      <c r="R248" s="216"/>
    </row>
    <row r="249" spans="2:18" ht="15.75">
      <c r="B249" s="216"/>
      <c r="C249" s="216"/>
      <c r="D249" s="216"/>
      <c r="E249" s="216"/>
      <c r="F249" s="216"/>
      <c r="G249" s="216"/>
      <c r="H249" s="216"/>
      <c r="I249" s="216"/>
      <c r="J249" s="216"/>
      <c r="K249" s="216"/>
      <c r="L249" s="216"/>
      <c r="M249" s="216"/>
      <c r="N249" s="216"/>
      <c r="O249" s="216"/>
      <c r="P249" s="216"/>
      <c r="Q249" s="216"/>
      <c r="R249" s="216"/>
    </row>
    <row r="250" spans="2:18" ht="15.75">
      <c r="B250" s="216"/>
      <c r="C250" s="216"/>
      <c r="D250" s="216"/>
      <c r="E250" s="216"/>
      <c r="F250" s="216"/>
      <c r="G250" s="216"/>
      <c r="H250" s="216"/>
      <c r="I250" s="216"/>
      <c r="J250" s="216"/>
      <c r="K250" s="216"/>
      <c r="L250" s="216"/>
      <c r="M250" s="216"/>
      <c r="N250" s="216"/>
      <c r="O250" s="216"/>
      <c r="P250" s="216"/>
      <c r="Q250" s="216"/>
      <c r="R250" s="216"/>
    </row>
    <row r="251" spans="2:18" ht="15.75">
      <c r="B251" s="216"/>
      <c r="C251" s="216"/>
      <c r="D251" s="216"/>
      <c r="E251" s="216"/>
      <c r="F251" s="216"/>
      <c r="G251" s="216"/>
      <c r="H251" s="216"/>
      <c r="I251" s="216"/>
      <c r="J251" s="216"/>
      <c r="K251" s="216"/>
      <c r="L251" s="216"/>
      <c r="M251" s="216"/>
      <c r="N251" s="216"/>
      <c r="O251" s="216"/>
      <c r="P251" s="216"/>
      <c r="Q251" s="216"/>
      <c r="R251" s="216"/>
    </row>
    <row r="252" spans="2:18" ht="15.75">
      <c r="B252" s="216"/>
      <c r="C252" s="216"/>
      <c r="D252" s="216"/>
      <c r="E252" s="216"/>
      <c r="F252" s="216"/>
      <c r="G252" s="216"/>
      <c r="H252" s="216"/>
      <c r="I252" s="216"/>
      <c r="J252" s="216"/>
      <c r="K252" s="216"/>
      <c r="L252" s="216"/>
      <c r="M252" s="216"/>
      <c r="N252" s="216"/>
      <c r="O252" s="216"/>
      <c r="P252" s="216"/>
      <c r="Q252" s="216"/>
      <c r="R252" s="216"/>
    </row>
    <row r="253" spans="2:18" ht="15.75">
      <c r="B253" s="216"/>
      <c r="C253" s="216"/>
      <c r="D253" s="216"/>
      <c r="E253" s="216"/>
      <c r="F253" s="216"/>
      <c r="G253" s="216"/>
      <c r="H253" s="216"/>
      <c r="I253" s="216"/>
      <c r="J253" s="216"/>
      <c r="K253" s="216"/>
      <c r="L253" s="216"/>
      <c r="M253" s="216"/>
      <c r="N253" s="216"/>
      <c r="O253" s="216"/>
      <c r="P253" s="216"/>
      <c r="Q253" s="216"/>
      <c r="R253" s="216"/>
    </row>
    <row r="254" spans="2:18" ht="15.75">
      <c r="B254" s="216"/>
      <c r="C254" s="216"/>
      <c r="D254" s="216"/>
      <c r="E254" s="216"/>
      <c r="F254" s="216"/>
      <c r="G254" s="216"/>
      <c r="H254" s="216"/>
      <c r="I254" s="216"/>
      <c r="J254" s="216"/>
      <c r="K254" s="216"/>
      <c r="L254" s="216"/>
      <c r="M254" s="216"/>
      <c r="N254" s="216"/>
      <c r="O254" s="216"/>
      <c r="P254" s="216"/>
      <c r="Q254" s="216"/>
      <c r="R254" s="216"/>
    </row>
    <row r="255" spans="2:18" ht="15.75">
      <c r="B255" s="216"/>
      <c r="C255" s="216"/>
      <c r="D255" s="216"/>
      <c r="E255" s="216"/>
      <c r="F255" s="216"/>
      <c r="G255" s="216"/>
      <c r="H255" s="216"/>
      <c r="I255" s="216"/>
      <c r="J255" s="216"/>
      <c r="K255" s="216"/>
      <c r="L255" s="216"/>
      <c r="M255" s="216"/>
      <c r="N255" s="216"/>
      <c r="O255" s="216"/>
      <c r="P255" s="216"/>
      <c r="Q255" s="216"/>
      <c r="R255" s="216"/>
    </row>
    <row r="256" spans="2:18" ht="15.75">
      <c r="B256" s="216"/>
      <c r="C256" s="216"/>
      <c r="D256" s="216"/>
      <c r="E256" s="216"/>
      <c r="F256" s="216"/>
      <c r="G256" s="216"/>
      <c r="H256" s="216"/>
      <c r="I256" s="216"/>
      <c r="J256" s="216"/>
      <c r="K256" s="216"/>
      <c r="L256" s="216"/>
      <c r="M256" s="216"/>
      <c r="N256" s="216"/>
      <c r="O256" s="216"/>
      <c r="P256" s="216"/>
      <c r="Q256" s="216"/>
      <c r="R256" s="216"/>
    </row>
    <row r="257" spans="2:18" ht="15.75">
      <c r="B257" s="216"/>
      <c r="C257" s="216"/>
      <c r="D257" s="216"/>
      <c r="E257" s="216"/>
      <c r="F257" s="216"/>
      <c r="G257" s="216"/>
      <c r="H257" s="216"/>
      <c r="I257" s="216"/>
      <c r="J257" s="216"/>
      <c r="K257" s="216"/>
      <c r="L257" s="216"/>
      <c r="M257" s="216"/>
      <c r="N257" s="216"/>
      <c r="O257" s="216"/>
      <c r="P257" s="216"/>
      <c r="Q257" s="216"/>
      <c r="R257" s="216"/>
    </row>
    <row r="258" spans="2:18" ht="15.75">
      <c r="B258" s="216"/>
      <c r="C258" s="216"/>
      <c r="D258" s="216"/>
      <c r="E258" s="216"/>
      <c r="F258" s="216"/>
      <c r="G258" s="216"/>
      <c r="H258" s="216"/>
      <c r="I258" s="216"/>
      <c r="J258" s="216"/>
      <c r="K258" s="216"/>
      <c r="L258" s="216"/>
      <c r="M258" s="216"/>
      <c r="N258" s="216"/>
      <c r="O258" s="216"/>
      <c r="P258" s="216"/>
      <c r="Q258" s="216"/>
      <c r="R258" s="216"/>
    </row>
    <row r="259" spans="2:18" ht="15.75">
      <c r="B259" s="216"/>
      <c r="C259" s="216"/>
      <c r="D259" s="216"/>
      <c r="E259" s="216"/>
      <c r="F259" s="216"/>
      <c r="G259" s="216"/>
      <c r="H259" s="216"/>
      <c r="I259" s="216"/>
      <c r="J259" s="216"/>
      <c r="K259" s="216"/>
      <c r="L259" s="216"/>
      <c r="M259" s="216"/>
      <c r="N259" s="216"/>
      <c r="O259" s="216"/>
      <c r="P259" s="216"/>
      <c r="Q259" s="216"/>
      <c r="R259" s="216"/>
    </row>
    <row r="260" spans="2:18" ht="15.75">
      <c r="B260" s="216"/>
      <c r="C260" s="216"/>
      <c r="D260" s="216"/>
      <c r="E260" s="216"/>
      <c r="F260" s="216"/>
      <c r="G260" s="216"/>
      <c r="H260" s="216"/>
      <c r="I260" s="216"/>
      <c r="J260" s="216"/>
      <c r="K260" s="216"/>
      <c r="L260" s="216"/>
      <c r="M260" s="216"/>
      <c r="N260" s="216"/>
      <c r="O260" s="216"/>
      <c r="P260" s="216"/>
      <c r="Q260" s="216"/>
      <c r="R260" s="216"/>
    </row>
    <row r="261" spans="2:18" ht="15.75">
      <c r="B261" s="216"/>
      <c r="C261" s="216"/>
      <c r="D261" s="216"/>
      <c r="E261" s="216"/>
      <c r="F261" s="216"/>
      <c r="G261" s="216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</row>
    <row r="262" spans="2:18" ht="15.75">
      <c r="B262" s="216"/>
      <c r="C262" s="216"/>
      <c r="D262" s="216"/>
      <c r="E262" s="216"/>
      <c r="F262" s="216"/>
      <c r="G262" s="216"/>
      <c r="H262" s="216"/>
      <c r="I262" s="216"/>
      <c r="J262" s="216"/>
      <c r="K262" s="216"/>
      <c r="L262" s="216"/>
      <c r="M262" s="216"/>
      <c r="N262" s="216"/>
      <c r="O262" s="216"/>
      <c r="P262" s="216"/>
      <c r="Q262" s="216"/>
      <c r="R262" s="216"/>
    </row>
    <row r="263" spans="2:18" ht="15.75">
      <c r="B263" s="216"/>
      <c r="C263" s="216"/>
      <c r="D263" s="216"/>
      <c r="E263" s="216"/>
      <c r="F263" s="216"/>
      <c r="G263" s="216"/>
      <c r="H263" s="216"/>
      <c r="I263" s="216"/>
      <c r="J263" s="216"/>
      <c r="K263" s="216"/>
      <c r="L263" s="216"/>
      <c r="M263" s="216"/>
      <c r="N263" s="216"/>
      <c r="O263" s="216"/>
      <c r="P263" s="216"/>
      <c r="Q263" s="216"/>
      <c r="R263" s="216"/>
    </row>
    <row r="264" spans="2:18" ht="15.75">
      <c r="B264" s="216"/>
      <c r="C264" s="216"/>
      <c r="D264" s="216"/>
      <c r="E264" s="216"/>
      <c r="F264" s="216"/>
      <c r="G264" s="216"/>
      <c r="H264" s="216"/>
      <c r="I264" s="216"/>
      <c r="J264" s="216"/>
      <c r="K264" s="216"/>
      <c r="L264" s="216"/>
      <c r="M264" s="216"/>
      <c r="N264" s="216"/>
      <c r="O264" s="216"/>
      <c r="P264" s="216"/>
      <c r="Q264" s="216"/>
      <c r="R264" s="216"/>
    </row>
    <row r="265" spans="2:18" ht="15.75">
      <c r="B265" s="216"/>
      <c r="C265" s="216"/>
      <c r="D265" s="216"/>
      <c r="E265" s="216"/>
      <c r="F265" s="216"/>
      <c r="G265" s="216"/>
      <c r="H265" s="216"/>
      <c r="I265" s="216"/>
      <c r="J265" s="216"/>
      <c r="K265" s="216"/>
      <c r="L265" s="216"/>
      <c r="M265" s="216"/>
      <c r="N265" s="216"/>
      <c r="O265" s="216"/>
      <c r="P265" s="216"/>
      <c r="Q265" s="216"/>
      <c r="R265" s="216"/>
    </row>
    <row r="266" spans="2:18" ht="15.75">
      <c r="B266" s="216"/>
      <c r="C266" s="216"/>
      <c r="D266" s="216"/>
      <c r="E266" s="216"/>
      <c r="F266" s="216"/>
      <c r="G266" s="216"/>
      <c r="H266" s="216"/>
      <c r="I266" s="216"/>
      <c r="J266" s="216"/>
      <c r="K266" s="216"/>
      <c r="L266" s="216"/>
      <c r="M266" s="216"/>
      <c r="N266" s="216"/>
      <c r="O266" s="216"/>
      <c r="P266" s="216"/>
      <c r="Q266" s="216"/>
      <c r="R266" s="216"/>
    </row>
    <row r="267" spans="2:18" ht="15.75">
      <c r="B267" s="216"/>
      <c r="C267" s="216"/>
      <c r="D267" s="216"/>
      <c r="E267" s="216"/>
      <c r="F267" s="216"/>
      <c r="G267" s="216"/>
      <c r="H267" s="216"/>
      <c r="I267" s="216"/>
      <c r="J267" s="216"/>
      <c r="K267" s="216"/>
      <c r="L267" s="216"/>
      <c r="M267" s="216"/>
      <c r="N267" s="216"/>
      <c r="O267" s="216"/>
      <c r="P267" s="216"/>
      <c r="Q267" s="216"/>
      <c r="R267" s="216"/>
    </row>
    <row r="268" spans="2:18" ht="15.75">
      <c r="B268" s="216"/>
      <c r="C268" s="216"/>
      <c r="D268" s="216"/>
      <c r="E268" s="216"/>
      <c r="F268" s="216"/>
      <c r="G268" s="216"/>
      <c r="H268" s="216"/>
      <c r="I268" s="216"/>
      <c r="J268" s="216"/>
      <c r="K268" s="216"/>
      <c r="L268" s="216"/>
      <c r="M268" s="216"/>
      <c r="N268" s="216"/>
      <c r="O268" s="216"/>
      <c r="P268" s="216"/>
      <c r="Q268" s="216"/>
      <c r="R268" s="216"/>
    </row>
    <row r="269" spans="2:18" ht="15.75">
      <c r="B269" s="216"/>
      <c r="C269" s="216"/>
      <c r="D269" s="216"/>
      <c r="E269" s="216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</row>
    <row r="270" spans="2:18" ht="15.75">
      <c r="B270" s="216"/>
      <c r="C270" s="216"/>
      <c r="D270" s="216"/>
      <c r="E270" s="216"/>
      <c r="F270" s="216"/>
      <c r="G270" s="216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</row>
    <row r="271" spans="2:18" ht="15.75">
      <c r="B271" s="216"/>
      <c r="C271" s="216"/>
      <c r="D271" s="216"/>
      <c r="E271" s="216"/>
      <c r="F271" s="216"/>
      <c r="G271" s="216"/>
      <c r="H271" s="216"/>
      <c r="I271" s="216"/>
      <c r="J271" s="216"/>
      <c r="K271" s="216"/>
      <c r="L271" s="216"/>
      <c r="M271" s="216"/>
      <c r="N271" s="216"/>
      <c r="O271" s="216"/>
      <c r="P271" s="216"/>
      <c r="Q271" s="216"/>
      <c r="R271" s="216"/>
    </row>
    <row r="272" spans="2:18" ht="15.75">
      <c r="B272" s="216"/>
      <c r="C272" s="216"/>
      <c r="D272" s="216"/>
      <c r="E272" s="216"/>
      <c r="F272" s="216"/>
      <c r="G272" s="216"/>
      <c r="H272" s="216"/>
      <c r="I272" s="216"/>
      <c r="J272" s="216"/>
      <c r="K272" s="216"/>
      <c r="L272" s="216"/>
      <c r="M272" s="216"/>
      <c r="N272" s="216"/>
      <c r="O272" s="216"/>
      <c r="P272" s="216"/>
      <c r="Q272" s="216"/>
      <c r="R272" s="216"/>
    </row>
    <row r="273" spans="2:18" ht="15.75">
      <c r="B273" s="216"/>
      <c r="C273" s="216"/>
      <c r="D273" s="216"/>
      <c r="E273" s="216"/>
      <c r="F273" s="216"/>
      <c r="G273" s="216"/>
      <c r="H273" s="216"/>
      <c r="I273" s="216"/>
      <c r="J273" s="216"/>
      <c r="K273" s="216"/>
      <c r="L273" s="216"/>
      <c r="M273" s="216"/>
      <c r="N273" s="216"/>
      <c r="O273" s="216"/>
      <c r="P273" s="216"/>
      <c r="Q273" s="216"/>
      <c r="R273" s="216"/>
    </row>
    <row r="274" spans="2:18" ht="15.75">
      <c r="B274" s="216"/>
      <c r="C274" s="216"/>
      <c r="D274" s="216"/>
      <c r="E274" s="216"/>
      <c r="F274" s="216"/>
      <c r="G274" s="216"/>
      <c r="H274" s="216"/>
      <c r="I274" s="216"/>
      <c r="J274" s="216"/>
      <c r="K274" s="216"/>
      <c r="L274" s="216"/>
      <c r="M274" s="216"/>
      <c r="N274" s="216"/>
      <c r="O274" s="216"/>
      <c r="P274" s="216"/>
      <c r="Q274" s="216"/>
      <c r="R274" s="216"/>
    </row>
    <row r="275" spans="2:18" ht="15.75">
      <c r="B275" s="216"/>
      <c r="C275" s="216"/>
      <c r="D275" s="216"/>
      <c r="E275" s="216"/>
      <c r="F275" s="216"/>
      <c r="G275" s="216"/>
      <c r="H275" s="216"/>
      <c r="I275" s="216"/>
      <c r="J275" s="216"/>
      <c r="K275" s="216"/>
      <c r="L275" s="216"/>
      <c r="M275" s="216"/>
      <c r="N275" s="216"/>
      <c r="O275" s="216"/>
      <c r="P275" s="216"/>
      <c r="Q275" s="216"/>
      <c r="R275" s="216"/>
    </row>
    <row r="276" spans="2:18" ht="15.75">
      <c r="B276" s="216"/>
      <c r="C276" s="216"/>
      <c r="D276" s="216"/>
      <c r="E276" s="216"/>
      <c r="F276" s="216"/>
      <c r="G276" s="216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</row>
    <row r="277" spans="2:18" ht="15.75">
      <c r="B277" s="216"/>
      <c r="C277" s="216"/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216"/>
      <c r="Q277" s="216"/>
      <c r="R277" s="216"/>
    </row>
    <row r="278" spans="2:18" ht="15.75">
      <c r="B278" s="216"/>
      <c r="C278" s="216"/>
      <c r="D278" s="216"/>
      <c r="E278" s="216"/>
      <c r="F278" s="216"/>
      <c r="G278" s="216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6"/>
    </row>
    <row r="279" spans="2:18" ht="15.75">
      <c r="B279" s="216"/>
      <c r="C279" s="216"/>
      <c r="D279" s="216"/>
      <c r="E279" s="216"/>
      <c r="F279" s="216"/>
      <c r="G279" s="216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</row>
    <row r="280" spans="2:18" ht="15.75">
      <c r="B280" s="216"/>
      <c r="C280" s="216"/>
      <c r="D280" s="216"/>
      <c r="E280" s="216"/>
      <c r="F280" s="216"/>
      <c r="G280" s="216"/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</row>
    <row r="281" spans="2:18" ht="15.75">
      <c r="B281" s="216"/>
      <c r="C281" s="216"/>
      <c r="D281" s="216"/>
      <c r="E281" s="216"/>
      <c r="F281" s="216"/>
      <c r="G281" s="216"/>
      <c r="H281" s="216"/>
      <c r="I281" s="216"/>
      <c r="J281" s="216"/>
      <c r="K281" s="216"/>
      <c r="L281" s="216"/>
      <c r="M281" s="216"/>
      <c r="N281" s="216"/>
      <c r="O281" s="216"/>
      <c r="P281" s="216"/>
      <c r="Q281" s="216"/>
      <c r="R281" s="216"/>
    </row>
    <row r="282" spans="2:18" ht="15.75">
      <c r="B282" s="216"/>
      <c r="C282" s="216"/>
      <c r="D282" s="216"/>
      <c r="E282" s="216"/>
      <c r="F282" s="216"/>
      <c r="G282" s="216"/>
      <c r="H282" s="216"/>
      <c r="I282" s="216"/>
      <c r="J282" s="216"/>
      <c r="K282" s="216"/>
      <c r="L282" s="216"/>
      <c r="M282" s="216"/>
      <c r="N282" s="216"/>
      <c r="O282" s="216"/>
      <c r="P282" s="216"/>
      <c r="Q282" s="216"/>
      <c r="R282" s="216"/>
    </row>
    <row r="283" spans="2:18" ht="15.75">
      <c r="B283" s="216"/>
      <c r="C283" s="216"/>
      <c r="D283" s="216"/>
      <c r="E283" s="216"/>
      <c r="F283" s="216"/>
      <c r="G283" s="216"/>
      <c r="H283" s="216"/>
      <c r="I283" s="216"/>
      <c r="J283" s="216"/>
      <c r="K283" s="216"/>
      <c r="L283" s="216"/>
      <c r="M283" s="216"/>
      <c r="N283" s="216"/>
      <c r="O283" s="216"/>
      <c r="P283" s="216"/>
      <c r="Q283" s="216"/>
      <c r="R283" s="216"/>
    </row>
    <row r="284" spans="2:18" ht="15.75">
      <c r="B284" s="216"/>
      <c r="C284" s="216"/>
      <c r="D284" s="216"/>
      <c r="E284" s="216"/>
      <c r="F284" s="216"/>
      <c r="G284" s="216"/>
      <c r="H284" s="216"/>
      <c r="I284" s="216"/>
      <c r="J284" s="216"/>
      <c r="K284" s="216"/>
      <c r="L284" s="216"/>
      <c r="M284" s="216"/>
      <c r="N284" s="216"/>
      <c r="O284" s="216"/>
      <c r="P284" s="216"/>
      <c r="Q284" s="216"/>
      <c r="R284" s="216"/>
    </row>
    <row r="285" spans="2:18" ht="15.75">
      <c r="B285" s="216"/>
      <c r="C285" s="216"/>
      <c r="D285" s="216"/>
      <c r="E285" s="216"/>
      <c r="F285" s="216"/>
      <c r="G285" s="216"/>
      <c r="H285" s="216"/>
      <c r="I285" s="216"/>
      <c r="J285" s="216"/>
      <c r="K285" s="216"/>
      <c r="L285" s="216"/>
      <c r="M285" s="216"/>
      <c r="N285" s="216"/>
      <c r="O285" s="216"/>
      <c r="P285" s="216"/>
      <c r="Q285" s="216"/>
      <c r="R285" s="216"/>
    </row>
    <row r="286" spans="2:18" ht="15.75">
      <c r="B286" s="216"/>
      <c r="C286" s="216"/>
      <c r="D286" s="216"/>
      <c r="E286" s="216"/>
      <c r="F286" s="216"/>
      <c r="G286" s="216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</row>
    <row r="287" spans="2:18" ht="15.75">
      <c r="B287" s="216"/>
      <c r="C287" s="216"/>
      <c r="D287" s="216"/>
      <c r="E287" s="216"/>
      <c r="F287" s="216"/>
      <c r="G287" s="216"/>
      <c r="H287" s="216"/>
      <c r="I287" s="216"/>
      <c r="J287" s="216"/>
      <c r="K287" s="216"/>
      <c r="L287" s="216"/>
      <c r="M287" s="216"/>
      <c r="N287" s="216"/>
      <c r="O287" s="216"/>
      <c r="P287" s="216"/>
      <c r="Q287" s="216"/>
      <c r="R287" s="216"/>
    </row>
    <row r="288" spans="2:18" ht="15.75">
      <c r="B288" s="216"/>
      <c r="C288" s="216"/>
      <c r="D288" s="216"/>
      <c r="E288" s="216"/>
      <c r="F288" s="216"/>
      <c r="G288" s="216"/>
      <c r="H288" s="216"/>
      <c r="I288" s="216"/>
      <c r="J288" s="216"/>
      <c r="K288" s="216"/>
      <c r="L288" s="216"/>
      <c r="M288" s="216"/>
      <c r="N288" s="216"/>
      <c r="O288" s="216"/>
      <c r="P288" s="216"/>
      <c r="Q288" s="216"/>
      <c r="R288" s="216"/>
    </row>
    <row r="289" spans="2:18" ht="15.75">
      <c r="B289" s="216"/>
      <c r="C289" s="216"/>
      <c r="D289" s="216"/>
      <c r="E289" s="216"/>
      <c r="F289" s="216"/>
      <c r="G289" s="216"/>
      <c r="H289" s="216"/>
      <c r="I289" s="216"/>
      <c r="J289" s="216"/>
      <c r="K289" s="216"/>
      <c r="L289" s="216"/>
      <c r="M289" s="216"/>
      <c r="N289" s="216"/>
      <c r="O289" s="216"/>
      <c r="P289" s="216"/>
      <c r="Q289" s="216"/>
      <c r="R289" s="216"/>
    </row>
    <row r="290" spans="2:18" ht="15.75">
      <c r="B290" s="216"/>
      <c r="C290" s="216"/>
      <c r="D290" s="216"/>
      <c r="E290" s="216"/>
      <c r="F290" s="216"/>
      <c r="G290" s="216"/>
      <c r="H290" s="216"/>
      <c r="I290" s="216"/>
      <c r="J290" s="216"/>
      <c r="K290" s="216"/>
      <c r="L290" s="216"/>
      <c r="M290" s="216"/>
      <c r="N290" s="216"/>
      <c r="O290" s="216"/>
      <c r="P290" s="216"/>
      <c r="Q290" s="216"/>
      <c r="R290" s="216"/>
    </row>
    <row r="291" spans="2:18" ht="15.75">
      <c r="B291" s="216"/>
      <c r="C291" s="216"/>
      <c r="D291" s="216"/>
      <c r="E291" s="216"/>
      <c r="F291" s="216"/>
      <c r="G291" s="216"/>
      <c r="H291" s="216"/>
      <c r="I291" s="216"/>
      <c r="J291" s="216"/>
      <c r="K291" s="216"/>
      <c r="L291" s="216"/>
      <c r="M291" s="216"/>
      <c r="N291" s="216"/>
      <c r="O291" s="216"/>
      <c r="P291" s="216"/>
      <c r="Q291" s="216"/>
      <c r="R291" s="216"/>
    </row>
    <row r="292" spans="2:18" ht="15.75">
      <c r="B292" s="216"/>
      <c r="C292" s="216"/>
      <c r="D292" s="216"/>
      <c r="E292" s="216"/>
      <c r="F292" s="216"/>
      <c r="G292" s="216"/>
      <c r="H292" s="216"/>
      <c r="I292" s="216"/>
      <c r="J292" s="216"/>
      <c r="K292" s="216"/>
      <c r="L292" s="216"/>
      <c r="M292" s="216"/>
      <c r="N292" s="216"/>
      <c r="O292" s="216"/>
      <c r="P292" s="216"/>
      <c r="Q292" s="216"/>
      <c r="R292" s="216"/>
    </row>
    <row r="293" spans="2:18" ht="15.75">
      <c r="B293" s="216"/>
      <c r="C293" s="216"/>
      <c r="D293" s="216"/>
      <c r="E293" s="216"/>
      <c r="F293" s="216"/>
      <c r="G293" s="216"/>
      <c r="H293" s="216"/>
      <c r="I293" s="216"/>
      <c r="J293" s="216"/>
      <c r="K293" s="216"/>
      <c r="L293" s="216"/>
      <c r="M293" s="216"/>
      <c r="N293" s="216"/>
      <c r="O293" s="216"/>
      <c r="P293" s="216"/>
      <c r="Q293" s="216"/>
      <c r="R293" s="216"/>
    </row>
    <row r="294" spans="2:18" ht="15.75">
      <c r="B294" s="216"/>
      <c r="C294" s="216"/>
      <c r="D294" s="216"/>
      <c r="E294" s="216"/>
      <c r="F294" s="216"/>
      <c r="G294" s="216"/>
      <c r="H294" s="216"/>
      <c r="I294" s="216"/>
      <c r="J294" s="216"/>
      <c r="K294" s="216"/>
      <c r="L294" s="216"/>
      <c r="M294" s="216"/>
      <c r="N294" s="216"/>
      <c r="O294" s="216"/>
      <c r="P294" s="216"/>
      <c r="Q294" s="216"/>
      <c r="R294" s="216"/>
    </row>
    <row r="295" spans="2:18" ht="15.75">
      <c r="B295" s="216"/>
      <c r="C295" s="216"/>
      <c r="D295" s="216"/>
      <c r="E295" s="216"/>
      <c r="F295" s="216"/>
      <c r="G295" s="216"/>
      <c r="H295" s="216"/>
      <c r="I295" s="216"/>
      <c r="J295" s="216"/>
      <c r="K295" s="216"/>
      <c r="L295" s="216"/>
      <c r="M295" s="216"/>
      <c r="N295" s="216"/>
      <c r="O295" s="216"/>
      <c r="P295" s="216"/>
      <c r="Q295" s="216"/>
      <c r="R295" s="216"/>
    </row>
    <row r="296" spans="2:18" ht="15.75">
      <c r="B296" s="216"/>
      <c r="C296" s="216"/>
      <c r="D296" s="216"/>
      <c r="E296" s="216"/>
      <c r="F296" s="216"/>
      <c r="G296" s="216"/>
      <c r="H296" s="216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</row>
  </sheetData>
  <sheetProtection password="CE1C" sheet="1" objects="1" scenarios="1"/>
  <mergeCells count="11">
    <mergeCell ref="D30:G33"/>
    <mergeCell ref="K30:N33"/>
    <mergeCell ref="D19:E19"/>
    <mergeCell ref="K19:L19"/>
    <mergeCell ref="D29:G29"/>
    <mergeCell ref="K29:N29"/>
    <mergeCell ref="C5:O5"/>
    <mergeCell ref="K11:L11"/>
    <mergeCell ref="C4:K4"/>
    <mergeCell ref="J14:O14"/>
    <mergeCell ref="C14:H14"/>
  </mergeCells>
  <printOptions/>
  <pageMargins left="0.984251968503937" right="0.92" top="0.49" bottom="0.984251968503937" header="0.3937007874015748" footer="0.5905511811023623"/>
  <pageSetup horizontalDpi="600" verticalDpi="600" orientation="landscape" paperSize="9" scale="74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V33"/>
  <sheetViews>
    <sheetView showGridLines="0" zoomScale="75" zoomScaleNormal="75" workbookViewId="0" topLeftCell="A1">
      <pane xSplit="14" ySplit="29" topLeftCell="O30" activePane="bottomRight" state="frozen"/>
      <selection pane="topLeft" activeCell="A1" sqref="A1"/>
      <selection pane="topRight" activeCell="O1" sqref="O1"/>
      <selection pane="bottomLeft" activeCell="A30" sqref="A30"/>
      <selection pane="bottomRight" activeCell="I24" sqref="I24:M27"/>
    </sheetView>
  </sheetViews>
  <sheetFormatPr defaultColWidth="9.00390625" defaultRowHeight="12.75"/>
  <cols>
    <col min="1" max="1" width="2.75390625" style="656" customWidth="1"/>
    <col min="2" max="2" width="2.625" style="656" customWidth="1"/>
    <col min="3" max="3" width="33.875" style="656" customWidth="1"/>
    <col min="4" max="4" width="9.875" style="656" customWidth="1"/>
    <col min="5" max="5" width="9.75390625" style="656" customWidth="1"/>
    <col min="6" max="6" width="21.75390625" style="656" customWidth="1"/>
    <col min="7" max="7" width="5.125" style="656" customWidth="1"/>
    <col min="8" max="8" width="2.75390625" style="656" customWidth="1"/>
    <col min="9" max="9" width="2.375" style="656" customWidth="1"/>
    <col min="10" max="10" width="43.00390625" style="656" customWidth="1"/>
    <col min="11" max="11" width="26.625" style="656" customWidth="1"/>
    <col min="12" max="12" width="4.75390625" style="656" customWidth="1"/>
    <col min="13" max="13" width="2.00390625" style="656" customWidth="1"/>
    <col min="14" max="14" width="2.75390625" style="656" customWidth="1"/>
    <col min="15" max="15" width="2.375" style="657" customWidth="1"/>
    <col min="16" max="16" width="10.75390625" style="657" hidden="1" customWidth="1"/>
    <col min="17" max="21" width="10.75390625" style="656" hidden="1" customWidth="1"/>
    <col min="22" max="24" width="10.75390625" style="656" customWidth="1"/>
    <col min="25" max="25" width="10.375" style="656" customWidth="1"/>
    <col min="26" max="28" width="8.375" style="656" customWidth="1"/>
    <col min="29" max="16384" width="9.125" style="656" customWidth="1"/>
  </cols>
  <sheetData>
    <row r="1" spans="16:22" ht="8.25" customHeight="1" thickBot="1">
      <c r="P1" s="658">
        <v>1</v>
      </c>
      <c r="Q1" s="658">
        <v>2</v>
      </c>
      <c r="R1" s="658">
        <v>3</v>
      </c>
      <c r="S1" s="752">
        <v>4</v>
      </c>
      <c r="T1" s="673">
        <v>5</v>
      </c>
      <c r="U1" s="673">
        <v>6</v>
      </c>
      <c r="V1" s="673"/>
    </row>
    <row r="2" spans="2:18" ht="10.5" customHeight="1">
      <c r="B2" s="659"/>
      <c r="C2" s="660"/>
      <c r="D2" s="661"/>
      <c r="E2" s="661"/>
      <c r="F2" s="661"/>
      <c r="G2" s="661"/>
      <c r="H2" s="661"/>
      <c r="I2" s="661"/>
      <c r="J2" s="661"/>
      <c r="K2" s="661"/>
      <c r="L2" s="661"/>
      <c r="M2" s="660"/>
      <c r="N2" s="662"/>
      <c r="O2" s="656"/>
      <c r="P2" s="663" t="s">
        <v>40</v>
      </c>
      <c r="Q2" s="663" t="s">
        <v>74</v>
      </c>
      <c r="R2" s="656" t="s">
        <v>165</v>
      </c>
    </row>
    <row r="3" spans="2:18" ht="18" customHeight="1">
      <c r="B3" s="664"/>
      <c r="C3" s="665"/>
      <c r="D3" s="666"/>
      <c r="E3" s="666"/>
      <c r="F3" s="666"/>
      <c r="G3" s="666"/>
      <c r="H3" s="666"/>
      <c r="I3" s="666"/>
      <c r="J3" s="666"/>
      <c r="K3" s="666"/>
      <c r="L3" s="666"/>
      <c r="M3" s="665"/>
      <c r="N3" s="667"/>
      <c r="O3" s="656"/>
      <c r="P3" s="663" t="s">
        <v>39</v>
      </c>
      <c r="Q3" s="663" t="s">
        <v>75</v>
      </c>
      <c r="R3" s="668" t="s">
        <v>166</v>
      </c>
    </row>
    <row r="4" spans="2:18" ht="18" customHeight="1">
      <c r="B4" s="664"/>
      <c r="C4" s="805" t="s">
        <v>167</v>
      </c>
      <c r="D4" s="805"/>
      <c r="E4" s="805"/>
      <c r="F4" s="805"/>
      <c r="G4" s="805"/>
      <c r="H4" s="805"/>
      <c r="I4" s="805"/>
      <c r="J4" s="805"/>
      <c r="K4" s="669"/>
      <c r="L4" s="670"/>
      <c r="M4" s="665"/>
      <c r="N4" s="667"/>
      <c r="O4" s="656"/>
      <c r="P4" s="751" t="s">
        <v>39</v>
      </c>
      <c r="Q4" s="671"/>
      <c r="R4" s="668" t="s">
        <v>227</v>
      </c>
    </row>
    <row r="5" spans="2:18" ht="18" customHeight="1">
      <c r="B5" s="664"/>
      <c r="C5" s="805"/>
      <c r="D5" s="805"/>
      <c r="E5" s="805"/>
      <c r="F5" s="805"/>
      <c r="G5" s="805"/>
      <c r="H5" s="805"/>
      <c r="I5" s="805"/>
      <c r="J5" s="805"/>
      <c r="K5" s="669"/>
      <c r="L5" s="672"/>
      <c r="M5" s="665"/>
      <c r="N5" s="667"/>
      <c r="O5" s="656"/>
      <c r="P5" s="751" t="s">
        <v>40</v>
      </c>
      <c r="Q5" s="673"/>
      <c r="R5" s="673"/>
    </row>
    <row r="6" spans="2:18" ht="18" customHeight="1" thickBot="1">
      <c r="B6" s="664"/>
      <c r="C6" s="806" t="s">
        <v>57</v>
      </c>
      <c r="D6" s="806"/>
      <c r="E6" s="806"/>
      <c r="F6" s="806"/>
      <c r="G6" s="674"/>
      <c r="H6" s="674"/>
      <c r="I6" s="674"/>
      <c r="J6" s="674"/>
      <c r="K6" s="674"/>
      <c r="L6" s="672"/>
      <c r="M6" s="675"/>
      <c r="N6" s="667"/>
      <c r="O6" s="656"/>
      <c r="P6" s="663" t="s">
        <v>236</v>
      </c>
      <c r="Q6" s="673"/>
      <c r="R6" s="673"/>
    </row>
    <row r="7" spans="2:18" ht="18" customHeight="1">
      <c r="B7" s="664"/>
      <c r="C7" s="143"/>
      <c r="D7" s="143"/>
      <c r="E7" s="143"/>
      <c r="F7" s="143"/>
      <c r="G7" s="676"/>
      <c r="H7" s="677"/>
      <c r="I7" s="678"/>
      <c r="J7" s="807" t="s">
        <v>168</v>
      </c>
      <c r="K7" s="807"/>
      <c r="L7" s="679"/>
      <c r="M7" s="680"/>
      <c r="N7" s="667"/>
      <c r="O7" s="656"/>
      <c r="P7" s="663" t="s">
        <v>237</v>
      </c>
      <c r="Q7" s="673"/>
      <c r="R7" s="673"/>
    </row>
    <row r="8" spans="2:18" ht="18" customHeight="1" thickBot="1">
      <c r="B8" s="664"/>
      <c r="C8" s="681" t="s">
        <v>169</v>
      </c>
      <c r="D8" s="809">
        <v>1</v>
      </c>
      <c r="E8" s="809"/>
      <c r="F8" s="809"/>
      <c r="G8" s="143"/>
      <c r="H8" s="680"/>
      <c r="I8" s="665"/>
      <c r="J8" s="808"/>
      <c r="K8" s="808"/>
      <c r="L8" s="665"/>
      <c r="M8" s="680"/>
      <c r="N8" s="667"/>
      <c r="O8" s="656"/>
      <c r="Q8" s="673"/>
      <c r="R8" s="673"/>
    </row>
    <row r="9" spans="2:15" ht="18" customHeight="1">
      <c r="B9" s="664"/>
      <c r="C9" s="665"/>
      <c r="D9" s="143"/>
      <c r="E9" s="143"/>
      <c r="F9" s="143"/>
      <c r="G9" s="665"/>
      <c r="H9" s="680"/>
      <c r="I9" s="665"/>
      <c r="J9" s="682"/>
      <c r="K9" s="811">
        <f>F12-F17</f>
        <v>140000</v>
      </c>
      <c r="L9" s="683"/>
      <c r="M9" s="680"/>
      <c r="N9" s="667"/>
      <c r="O9" s="656"/>
    </row>
    <row r="10" spans="2:15" ht="18" customHeight="1" thickBot="1">
      <c r="B10" s="664"/>
      <c r="C10" s="813" t="s">
        <v>3</v>
      </c>
      <c r="D10" s="813"/>
      <c r="E10" s="143"/>
      <c r="F10" s="753">
        <v>1</v>
      </c>
      <c r="G10" s="143"/>
      <c r="H10" s="665"/>
      <c r="I10" s="685"/>
      <c r="J10" s="686" t="s">
        <v>43</v>
      </c>
      <c r="K10" s="812"/>
      <c r="L10" s="682" t="s">
        <v>82</v>
      </c>
      <c r="M10" s="665"/>
      <c r="N10" s="687"/>
      <c r="O10" s="656"/>
    </row>
    <row r="11" spans="2:16" ht="18" customHeight="1" thickBot="1">
      <c r="B11" s="664"/>
      <c r="C11" s="813" t="s">
        <v>4</v>
      </c>
      <c r="D11" s="813"/>
      <c r="E11" s="665"/>
      <c r="F11" s="684" t="s">
        <v>41</v>
      </c>
      <c r="G11" s="665"/>
      <c r="H11" s="680"/>
      <c r="I11" s="665"/>
      <c r="J11" s="682"/>
      <c r="K11" s="689"/>
      <c r="L11" s="690"/>
      <c r="M11" s="665"/>
      <c r="N11" s="687"/>
      <c r="O11" s="656"/>
      <c r="P11" s="656" t="s">
        <v>173</v>
      </c>
    </row>
    <row r="12" spans="2:18" ht="18" customHeight="1" thickBot="1">
      <c r="B12" s="664"/>
      <c r="C12" s="813" t="s">
        <v>11</v>
      </c>
      <c r="D12" s="813"/>
      <c r="E12" s="665"/>
      <c r="F12" s="688">
        <v>200000</v>
      </c>
      <c r="G12" s="179" t="s">
        <v>82</v>
      </c>
      <c r="H12" s="665"/>
      <c r="I12" s="685"/>
      <c r="J12" s="686" t="s">
        <v>170</v>
      </c>
      <c r="K12" s="814" t="s">
        <v>93</v>
      </c>
      <c r="L12" s="691"/>
      <c r="M12" s="680"/>
      <c r="N12" s="667"/>
      <c r="O12" s="656"/>
      <c r="P12" s="673" t="s">
        <v>124</v>
      </c>
      <c r="Q12" s="692">
        <f>IF(D8=2,'Условия программ'!K111,IF(D8=3,R12,IF($E$17&lt;'Условия программ'!G111,'Условия программ'!E111,'Условия программ'!G111)))</f>
        <v>0.3</v>
      </c>
      <c r="R12" s="692">
        <f>IF(F10=1,'Условия программ'!K117,'Условия программ'!L117)</f>
        <v>0.15</v>
      </c>
    </row>
    <row r="13" spans="2:17" ht="18" customHeight="1" thickBot="1">
      <c r="B13" s="693"/>
      <c r="C13" s="694" t="s">
        <v>5</v>
      </c>
      <c r="D13" s="143"/>
      <c r="E13" s="676"/>
      <c r="F13" s="684" t="s">
        <v>8</v>
      </c>
      <c r="G13" s="143"/>
      <c r="H13" s="665"/>
      <c r="I13" s="695"/>
      <c r="J13" s="686" t="s">
        <v>171</v>
      </c>
      <c r="K13" s="815"/>
      <c r="L13" s="696"/>
      <c r="M13" s="680"/>
      <c r="N13" s="667"/>
      <c r="O13" s="656"/>
      <c r="P13" s="673" t="s">
        <v>235</v>
      </c>
      <c r="Q13" s="697">
        <f>IF($F$19=1,IF($E$17&lt;'Условия программ'!G111,'Условия программ'!D7,'Условия программ'!F7),IF($E$17&lt;'Условия программ'!G111,'Условия программ'!E7,'Условия программ'!G7))</f>
        <v>0.149</v>
      </c>
    </row>
    <row r="14" spans="2:17" ht="18" customHeight="1" thickBot="1">
      <c r="B14" s="693"/>
      <c r="C14" s="816" t="s">
        <v>85</v>
      </c>
      <c r="D14" s="816"/>
      <c r="E14" s="676"/>
      <c r="F14" s="702">
        <v>36</v>
      </c>
      <c r="G14" s="179" t="s">
        <v>81</v>
      </c>
      <c r="H14" s="665"/>
      <c r="I14" s="685"/>
      <c r="J14" s="699"/>
      <c r="K14" s="700"/>
      <c r="L14" s="690"/>
      <c r="M14" s="665"/>
      <c r="N14" s="687"/>
      <c r="O14" s="656"/>
      <c r="P14" s="656" t="s">
        <v>234</v>
      </c>
      <c r="Q14" s="697">
        <f>IF(F20=1,'Условия программ'!E48,'Условия программ'!D48)</f>
        <v>0.165</v>
      </c>
    </row>
    <row r="15" spans="2:15" ht="18" customHeight="1" thickBot="1">
      <c r="B15" s="693"/>
      <c r="C15" s="817" t="s">
        <v>20</v>
      </c>
      <c r="D15" s="817"/>
      <c r="E15" s="698"/>
      <c r="F15" s="698"/>
      <c r="G15" s="698"/>
      <c r="H15" s="665"/>
      <c r="I15" s="685"/>
      <c r="J15" s="686" t="s">
        <v>172</v>
      </c>
      <c r="K15" s="811">
        <f>(K9*(F27/12))/(1-(1+F27/12)^(-F14))</f>
        <v>4489.195422879758</v>
      </c>
      <c r="L15" s="690"/>
      <c r="M15" s="680"/>
      <c r="N15" s="667"/>
      <c r="O15" s="656"/>
    </row>
    <row r="16" spans="2:17" ht="18" customHeight="1" thickBot="1">
      <c r="B16" s="693"/>
      <c r="C16" s="810" t="s">
        <v>17</v>
      </c>
      <c r="D16" s="810"/>
      <c r="E16" s="174">
        <f>Q12</f>
        <v>0.3</v>
      </c>
      <c r="F16" s="177">
        <f>F12*E16</f>
        <v>60000</v>
      </c>
      <c r="G16" s="179" t="s">
        <v>82</v>
      </c>
      <c r="H16" s="680"/>
      <c r="I16" s="665"/>
      <c r="J16" s="686" t="s">
        <v>174</v>
      </c>
      <c r="K16" s="812"/>
      <c r="L16" s="696" t="s">
        <v>82</v>
      </c>
      <c r="M16" s="680"/>
      <c r="N16" s="667"/>
      <c r="O16" s="656"/>
      <c r="P16" s="701" t="s">
        <v>62</v>
      </c>
      <c r="Q16" s="673"/>
    </row>
    <row r="17" spans="2:17" ht="18" customHeight="1" thickBot="1">
      <c r="B17" s="693"/>
      <c r="C17" s="810" t="s">
        <v>18</v>
      </c>
      <c r="D17" s="810"/>
      <c r="E17" s="704">
        <f>ROUND(F17/F12,4)</f>
        <v>0.3</v>
      </c>
      <c r="F17" s="688">
        <v>60000</v>
      </c>
      <c r="G17" s="179" t="s">
        <v>82</v>
      </c>
      <c r="H17" s="665"/>
      <c r="I17" s="685"/>
      <c r="J17" s="699"/>
      <c r="K17" s="703"/>
      <c r="L17" s="690"/>
      <c r="M17" s="665"/>
      <c r="N17" s="687"/>
      <c r="O17" s="656"/>
      <c r="P17" s="656" t="s">
        <v>173</v>
      </c>
      <c r="Q17" s="663">
        <f>IF(F10=2,"Кредит на автомобили Категории С не предоставляется",IF($F$12&gt;600000,"Субсидирование процентной ставки осуществляется при стоимости автомобиля до 600000 рублей",IF($F$14&lt;12,"Необходимо увеличить срок кредита. Минимальный срок кредитования - 12 месяцев",IF($F$14&gt;36,"Необходимо уменьшить срок кредита. Максимальный срок кредитования - 36 месяцев",IF($E$17&lt;$E$16,"Необходимо увеличить размер первоначального взноса до необходимого минимума",IF($E$17&gt;70%,"Необходимо уменьшить размер первоначального взноса. Максимальный размер - 70% от совокупной стоимости автомобиля",IF($K$9&lt;50000,"Сумма кредита должна быть не менее 50 000 рублей","")))))))</f>
      </c>
    </row>
    <row r="18" spans="2:17" ht="18" customHeight="1">
      <c r="B18" s="693"/>
      <c r="C18" s="143"/>
      <c r="D18" s="143"/>
      <c r="E18" s="143"/>
      <c r="F18" s="143"/>
      <c r="G18" s="143"/>
      <c r="H18" s="665"/>
      <c r="I18" s="685"/>
      <c r="J18" s="686" t="s">
        <v>176</v>
      </c>
      <c r="K18" s="811">
        <f>K15*F14-K9</f>
        <v>21611.035223671264</v>
      </c>
      <c r="L18" s="690"/>
      <c r="M18" s="680"/>
      <c r="N18" s="667"/>
      <c r="O18" s="656"/>
      <c r="P18" s="656" t="s">
        <v>175</v>
      </c>
      <c r="Q18" s="663" t="str">
        <f>IF(F10=2,"Кредит на автомобили Категории С не предоставляется",IF($F$12&gt;600000,"Субсидирование процентной ставки осуществляется при стоимости автомобиля до 600000 рублей",IF($F$14&lt;12,"Необходимо увеличить срок кредита. Минимальный срок кредитования - 12 месяцев",IF($F$14&gt;36,"Необходимо уменьшить срок кредита. Максимальный срок кредитования - 36 месяцев",IF($E$17&lt;$E$16,"Необходимо увеличить размер первоначального взноса до необходимого минимума",IF($E$17&gt;70%,"Необходимо уменьшить размер первоначального взноса. Максимальный размер - 70% от совокупной стоимости автомобиля",IF($F$19=2,"Предоставление документов, подтверждающих доходы, обязательно",IF($K$9&lt;50000,"Сумма кредита должна быть не менее 50 000 рублей",""))))))))</f>
        <v>Предоставление документов, подтверждающих доходы, обязательно</v>
      </c>
    </row>
    <row r="19" spans="2:17" ht="18" customHeight="1" thickBot="1">
      <c r="B19" s="693"/>
      <c r="C19" s="819" t="s">
        <v>70</v>
      </c>
      <c r="D19" s="819"/>
      <c r="E19" s="819"/>
      <c r="F19" s="706">
        <v>2</v>
      </c>
      <c r="G19" s="698"/>
      <c r="H19" s="680"/>
      <c r="I19" s="665"/>
      <c r="J19" s="686" t="s">
        <v>177</v>
      </c>
      <c r="K19" s="812"/>
      <c r="L19" s="696" t="s">
        <v>82</v>
      </c>
      <c r="M19" s="680"/>
      <c r="N19" s="667"/>
      <c r="O19" s="656"/>
      <c r="P19" s="656" t="s">
        <v>231</v>
      </c>
      <c r="Q19" s="663" t="str">
        <f>IF($F$12&gt;600000,"Субсидирование процентной ставки осуществляется при стоимости автомобиля до 600000 рублей",IF($F$14&lt;12,"Необходимо увеличить срок кредита. Минимальный срок кредитования - 12 месяцев",IF($F$14&gt;36,"Необходимо уменьшить срок кредита. Максимальный срок кредитования - 36 месяцев",IF($E$17&lt;$E$16,"Необходимо увеличить размер первоначального взноса до необходимого минимума",IF($E$17&gt;70%,"Необходимо уменьшить размер первоначального взноса. Максимальный размер - 70% от совокупной стоимости автомобиля",IF($F$19=2,"Предоставление документов, подтверждающих доходы, обязательно",IF($K$9&lt;100000,"Сумма кредита должна быть не менее 100 000 рублей","")))))))</f>
        <v>Предоставление документов, подтверждающих доходы, обязательно</v>
      </c>
    </row>
    <row r="20" spans="2:15" ht="18" customHeight="1">
      <c r="B20" s="693"/>
      <c r="C20" s="747" t="s">
        <v>232</v>
      </c>
      <c r="D20" s="747"/>
      <c r="E20" s="747"/>
      <c r="F20" s="753">
        <v>1</v>
      </c>
      <c r="G20" s="143"/>
      <c r="H20" s="665"/>
      <c r="I20" s="685"/>
      <c r="J20" s="694"/>
      <c r="K20" s="705"/>
      <c r="L20" s="694"/>
      <c r="M20" s="680"/>
      <c r="N20" s="667"/>
      <c r="O20" s="656"/>
    </row>
    <row r="21" spans="2:15" ht="18" customHeight="1" thickBot="1">
      <c r="B21" s="693"/>
      <c r="C21" s="746" t="s">
        <v>233</v>
      </c>
      <c r="D21" s="746"/>
      <c r="E21" s="750"/>
      <c r="F21" s="143"/>
      <c r="G21" s="143"/>
      <c r="H21" s="676"/>
      <c r="I21" s="707"/>
      <c r="J21" s="694"/>
      <c r="K21" s="694"/>
      <c r="L21" s="694"/>
      <c r="M21" s="665"/>
      <c r="N21" s="687"/>
      <c r="O21" s="656"/>
    </row>
    <row r="22" spans="2:15" ht="18" customHeight="1" thickBot="1">
      <c r="B22" s="159"/>
      <c r="C22" s="143"/>
      <c r="D22" s="143"/>
      <c r="E22" s="143"/>
      <c r="F22" s="143"/>
      <c r="G22" s="143"/>
      <c r="H22" s="676"/>
      <c r="I22" s="820" t="s">
        <v>44</v>
      </c>
      <c r="J22" s="820"/>
      <c r="K22" s="820"/>
      <c r="L22" s="820"/>
      <c r="M22" s="820"/>
      <c r="N22" s="667"/>
      <c r="O22" s="656"/>
    </row>
    <row r="23" spans="2:15" ht="18" customHeight="1" thickBot="1">
      <c r="B23" s="693"/>
      <c r="C23" s="822" t="s">
        <v>178</v>
      </c>
      <c r="D23" s="822"/>
      <c r="E23" s="143"/>
      <c r="F23" s="708">
        <f>IF(D8=1,Q13,IF(D8=2,'Условия программ'!D27,Q14))</f>
        <v>0.149</v>
      </c>
      <c r="G23" s="143"/>
      <c r="H23" s="709"/>
      <c r="I23" s="821"/>
      <c r="J23" s="821"/>
      <c r="K23" s="821"/>
      <c r="L23" s="821"/>
      <c r="M23" s="821"/>
      <c r="N23" s="667"/>
      <c r="O23" s="656"/>
    </row>
    <row r="24" spans="2:15" ht="18" customHeight="1" thickBot="1">
      <c r="B24" s="693"/>
      <c r="C24" s="822" t="s">
        <v>179</v>
      </c>
      <c r="D24" s="822"/>
      <c r="E24" s="710"/>
      <c r="F24" s="708">
        <v>0.08</v>
      </c>
      <c r="G24" s="711"/>
      <c r="H24" s="711"/>
      <c r="I24" s="823">
        <f>IF(D8=1,Q17,IF(D8=2,Q18,Q19))</f>
      </c>
      <c r="J24" s="824"/>
      <c r="K24" s="824"/>
      <c r="L24" s="824"/>
      <c r="M24" s="825"/>
      <c r="N24" s="667"/>
      <c r="O24" s="656"/>
    </row>
    <row r="25" spans="2:15" ht="18" customHeight="1" thickBot="1">
      <c r="B25" s="693"/>
      <c r="C25" s="832" t="s">
        <v>180</v>
      </c>
      <c r="D25" s="832"/>
      <c r="E25" s="143"/>
      <c r="F25" s="708">
        <f>ROUND(F24/3*2,4)</f>
        <v>0.0533</v>
      </c>
      <c r="G25" s="711"/>
      <c r="H25" s="711"/>
      <c r="I25" s="826"/>
      <c r="J25" s="827"/>
      <c r="K25" s="827"/>
      <c r="L25" s="827"/>
      <c r="M25" s="828"/>
      <c r="N25" s="667"/>
      <c r="O25" s="656"/>
    </row>
    <row r="26" spans="2:15" ht="13.5" customHeight="1" thickBot="1">
      <c r="B26" s="693"/>
      <c r="C26" s="698"/>
      <c r="D26" s="665"/>
      <c r="E26" s="665"/>
      <c r="F26" s="665"/>
      <c r="G26" s="665"/>
      <c r="H26" s="665"/>
      <c r="I26" s="826"/>
      <c r="J26" s="827"/>
      <c r="K26" s="827"/>
      <c r="L26" s="827"/>
      <c r="M26" s="828"/>
      <c r="N26" s="667"/>
      <c r="O26" s="656"/>
    </row>
    <row r="27" spans="2:15" ht="18" customHeight="1" thickBot="1">
      <c r="B27" s="693"/>
      <c r="C27" s="833" t="s">
        <v>181</v>
      </c>
      <c r="D27" s="833"/>
      <c r="E27" s="712"/>
      <c r="F27" s="713">
        <f>F23-F25</f>
        <v>0.0957</v>
      </c>
      <c r="G27" s="665"/>
      <c r="H27" s="665"/>
      <c r="I27" s="829"/>
      <c r="J27" s="830"/>
      <c r="K27" s="830"/>
      <c r="L27" s="830"/>
      <c r="M27" s="831"/>
      <c r="N27" s="667"/>
      <c r="O27" s="656"/>
    </row>
    <row r="28" spans="2:14" ht="15" customHeight="1">
      <c r="B28" s="664"/>
      <c r="C28" s="818" t="s">
        <v>182</v>
      </c>
      <c r="D28" s="818"/>
      <c r="E28" s="665"/>
      <c r="F28" s="665"/>
      <c r="G28" s="670"/>
      <c r="H28" s="670"/>
      <c r="I28" s="670"/>
      <c r="J28" s="670"/>
      <c r="K28" s="670"/>
      <c r="L28" s="670"/>
      <c r="M28" s="665"/>
      <c r="N28" s="667"/>
    </row>
    <row r="29" spans="1:15" ht="9" customHeight="1" thickBot="1">
      <c r="A29" s="714"/>
      <c r="B29" s="715"/>
      <c r="C29" s="715"/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7"/>
    </row>
    <row r="30" ht="16.5" customHeight="1"/>
    <row r="31" ht="16.5" customHeight="1"/>
    <row r="32" ht="16.5" customHeight="1"/>
    <row r="33" spans="2:6" ht="16.5" customHeight="1">
      <c r="B33" s="718" t="s">
        <v>84</v>
      </c>
      <c r="C33" s="718"/>
      <c r="F33" s="719"/>
    </row>
    <row r="34" ht="16.5" customHeight="1"/>
    <row r="35" ht="16.5" customHeight="1"/>
    <row r="36" ht="16.5" customHeight="1"/>
  </sheetData>
  <sheetProtection password="CE1C" sheet="1" objects="1" scenarios="1"/>
  <mergeCells count="23">
    <mergeCell ref="C28:D28"/>
    <mergeCell ref="C19:E19"/>
    <mergeCell ref="I22:M23"/>
    <mergeCell ref="C23:D23"/>
    <mergeCell ref="C24:D24"/>
    <mergeCell ref="I24:M27"/>
    <mergeCell ref="C25:D25"/>
    <mergeCell ref="C27:D27"/>
    <mergeCell ref="K18:K19"/>
    <mergeCell ref="C17:D17"/>
    <mergeCell ref="K9:K10"/>
    <mergeCell ref="C11:D11"/>
    <mergeCell ref="K12:K13"/>
    <mergeCell ref="C14:D14"/>
    <mergeCell ref="K15:K16"/>
    <mergeCell ref="C15:D15"/>
    <mergeCell ref="C16:D16"/>
    <mergeCell ref="C10:D10"/>
    <mergeCell ref="C12:D12"/>
    <mergeCell ref="C4:J5"/>
    <mergeCell ref="C6:F6"/>
    <mergeCell ref="J7:K8"/>
    <mergeCell ref="D8:F8"/>
  </mergeCells>
  <printOptions/>
  <pageMargins left="0.96" right="0.53" top="0.64" bottom="1.5" header="0.28" footer="1.31"/>
  <pageSetup horizontalDpi="200" verticalDpi="200" orientation="landscape" paperSize="9" scale="74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C80"/>
  <sheetViews>
    <sheetView showGridLines="0" workbookViewId="0" topLeftCell="A1">
      <selection activeCell="C79" sqref="C79"/>
    </sheetView>
  </sheetViews>
  <sheetFormatPr defaultColWidth="9.00390625" defaultRowHeight="12.75"/>
  <cols>
    <col min="1" max="1" width="14.00390625" style="720" customWidth="1"/>
    <col min="2" max="2" width="47.00390625" style="720" customWidth="1"/>
    <col min="3" max="3" width="33.125" style="720" customWidth="1"/>
    <col min="4" max="16384" width="9.125" style="720" customWidth="1"/>
  </cols>
  <sheetData>
    <row r="1" ht="15.75">
      <c r="C1" s="721" t="s">
        <v>183</v>
      </c>
    </row>
    <row r="2" ht="15.75">
      <c r="C2" s="722" t="s">
        <v>184</v>
      </c>
    </row>
    <row r="3" ht="15.75">
      <c r="C3" s="721" t="s">
        <v>241</v>
      </c>
    </row>
    <row r="4" spans="1:3" ht="15.75">
      <c r="A4" s="723"/>
      <c r="C4" s="721" t="s">
        <v>240</v>
      </c>
    </row>
    <row r="5" spans="1:3" ht="15.75" customHeight="1">
      <c r="A5" s="834" t="s">
        <v>239</v>
      </c>
      <c r="B5" s="834"/>
      <c r="C5" s="834"/>
    </row>
    <row r="6" spans="1:3" ht="15.75" customHeight="1">
      <c r="A6" s="834"/>
      <c r="B6" s="834"/>
      <c r="C6" s="834"/>
    </row>
    <row r="7" spans="1:3" ht="15.75" customHeight="1">
      <c r="A7" s="834"/>
      <c r="B7" s="834"/>
      <c r="C7" s="834"/>
    </row>
    <row r="8" spans="1:3" ht="15.75" customHeight="1">
      <c r="A8" s="834"/>
      <c r="B8" s="834"/>
      <c r="C8" s="834"/>
    </row>
    <row r="9" spans="1:3" ht="15.75" customHeight="1">
      <c r="A9" s="834"/>
      <c r="B9" s="834"/>
      <c r="C9" s="834"/>
    </row>
    <row r="10" spans="1:3" ht="15.75" customHeight="1" thickBot="1">
      <c r="A10" s="834"/>
      <c r="B10" s="834"/>
      <c r="C10" s="834"/>
    </row>
    <row r="11" spans="1:3" ht="37.5" customHeight="1" thickBot="1">
      <c r="A11" s="724" t="s">
        <v>185</v>
      </c>
      <c r="B11" s="725" t="s">
        <v>186</v>
      </c>
      <c r="C11" s="725" t="s">
        <v>187</v>
      </c>
    </row>
    <row r="12" spans="1:3" ht="16.5" thickBot="1">
      <c r="A12" s="726">
        <v>1</v>
      </c>
      <c r="B12" s="727" t="s">
        <v>188</v>
      </c>
      <c r="C12" s="728" t="s">
        <v>189</v>
      </c>
    </row>
    <row r="13" spans="1:3" ht="16.5" thickBot="1">
      <c r="A13" s="726">
        <v>2</v>
      </c>
      <c r="B13" s="727" t="s">
        <v>190</v>
      </c>
      <c r="C13" s="728" t="s">
        <v>191</v>
      </c>
    </row>
    <row r="14" spans="1:3" ht="16.5" thickBot="1">
      <c r="A14" s="726">
        <v>3</v>
      </c>
      <c r="B14" s="727" t="s">
        <v>192</v>
      </c>
      <c r="C14" s="728" t="s">
        <v>193</v>
      </c>
    </row>
    <row r="15" spans="1:3" ht="16.5" thickBot="1">
      <c r="A15" s="726">
        <v>4</v>
      </c>
      <c r="B15" s="727" t="s">
        <v>242</v>
      </c>
      <c r="C15" s="728" t="s">
        <v>193</v>
      </c>
    </row>
    <row r="16" spans="1:3" ht="16.5" thickBot="1">
      <c r="A16" s="726">
        <v>5</v>
      </c>
      <c r="B16" s="729" t="s">
        <v>243</v>
      </c>
      <c r="C16" s="730" t="s">
        <v>194</v>
      </c>
    </row>
    <row r="17" spans="1:3" ht="16.5" thickBot="1">
      <c r="A17" s="726">
        <v>6</v>
      </c>
      <c r="B17" s="731" t="s">
        <v>195</v>
      </c>
      <c r="C17" s="732" t="s">
        <v>196</v>
      </c>
    </row>
    <row r="18" spans="1:3" ht="16.5" thickBot="1">
      <c r="A18" s="726">
        <v>7</v>
      </c>
      <c r="B18" s="727" t="s">
        <v>197</v>
      </c>
      <c r="C18" s="728" t="s">
        <v>198</v>
      </c>
    </row>
    <row r="19" spans="1:3" ht="16.5" thickBot="1">
      <c r="A19" s="726">
        <v>8</v>
      </c>
      <c r="B19" s="727" t="s">
        <v>244</v>
      </c>
      <c r="C19" s="728" t="s">
        <v>199</v>
      </c>
    </row>
    <row r="20" spans="1:3" ht="16.5" thickBot="1">
      <c r="A20" s="726">
        <v>9</v>
      </c>
      <c r="B20" s="727" t="s">
        <v>245</v>
      </c>
      <c r="C20" s="728" t="s">
        <v>199</v>
      </c>
    </row>
    <row r="21" spans="1:3" ht="16.5" thickBot="1">
      <c r="A21" s="726">
        <v>10</v>
      </c>
      <c r="B21" s="727" t="s">
        <v>246</v>
      </c>
      <c r="C21" s="728" t="s">
        <v>199</v>
      </c>
    </row>
    <row r="22" spans="1:3" ht="16.5" thickBot="1">
      <c r="A22" s="726">
        <v>11</v>
      </c>
      <c r="B22" s="727" t="s">
        <v>247</v>
      </c>
      <c r="C22" s="728" t="s">
        <v>198</v>
      </c>
    </row>
    <row r="23" spans="1:3" ht="16.5" thickBot="1">
      <c r="A23" s="726">
        <v>12</v>
      </c>
      <c r="B23" s="727" t="s">
        <v>248</v>
      </c>
      <c r="C23" s="728" t="s">
        <v>199</v>
      </c>
    </row>
    <row r="24" spans="1:3" ht="16.5" thickBot="1">
      <c r="A24" s="835">
        <v>13</v>
      </c>
      <c r="B24" s="838" t="s">
        <v>249</v>
      </c>
      <c r="C24" s="728" t="s">
        <v>199</v>
      </c>
    </row>
    <row r="25" spans="1:3" ht="16.5" thickBot="1">
      <c r="A25" s="836"/>
      <c r="B25" s="839"/>
      <c r="C25" s="728" t="s">
        <v>200</v>
      </c>
    </row>
    <row r="26" spans="1:3" ht="16.5" thickBot="1">
      <c r="A26" s="837"/>
      <c r="B26" s="840"/>
      <c r="C26" s="728" t="s">
        <v>201</v>
      </c>
    </row>
    <row r="27" spans="1:3" ht="16.5" thickBot="1">
      <c r="A27" s="726">
        <v>14</v>
      </c>
      <c r="B27" s="727" t="s">
        <v>250</v>
      </c>
      <c r="C27" s="728" t="s">
        <v>199</v>
      </c>
    </row>
    <row r="28" spans="1:3" ht="16.5" thickBot="1">
      <c r="A28" s="726">
        <v>15</v>
      </c>
      <c r="B28" s="727" t="s">
        <v>251</v>
      </c>
      <c r="C28" s="728" t="s">
        <v>199</v>
      </c>
    </row>
    <row r="29" spans="1:3" ht="16.5" thickBot="1">
      <c r="A29" s="726">
        <v>16</v>
      </c>
      <c r="B29" s="727" t="s">
        <v>252</v>
      </c>
      <c r="C29" s="728" t="s">
        <v>199</v>
      </c>
    </row>
    <row r="30" spans="1:3" ht="16.5" thickBot="1">
      <c r="A30" s="835">
        <v>17</v>
      </c>
      <c r="B30" s="838" t="s">
        <v>253</v>
      </c>
      <c r="C30" s="728" t="s">
        <v>199</v>
      </c>
    </row>
    <row r="31" spans="1:3" ht="16.5" thickBot="1">
      <c r="A31" s="837"/>
      <c r="B31" s="840"/>
      <c r="C31" s="728" t="s">
        <v>202</v>
      </c>
    </row>
    <row r="32" spans="1:3" ht="16.5" thickBot="1">
      <c r="A32" s="726">
        <v>18</v>
      </c>
      <c r="B32" s="727" t="s">
        <v>254</v>
      </c>
      <c r="C32" s="728" t="s">
        <v>199</v>
      </c>
    </row>
    <row r="33" spans="1:3" ht="16.5" thickBot="1">
      <c r="A33" s="726">
        <v>19</v>
      </c>
      <c r="B33" s="727" t="s">
        <v>255</v>
      </c>
      <c r="C33" s="728" t="s">
        <v>199</v>
      </c>
    </row>
    <row r="34" spans="1:3" ht="16.5" thickBot="1">
      <c r="A34" s="835">
        <v>20</v>
      </c>
      <c r="B34" s="838" t="s">
        <v>256</v>
      </c>
      <c r="C34" s="728" t="s">
        <v>199</v>
      </c>
    </row>
    <row r="35" spans="1:3" ht="16.5" thickBot="1">
      <c r="A35" s="837"/>
      <c r="B35" s="840"/>
      <c r="C35" s="728" t="s">
        <v>203</v>
      </c>
    </row>
    <row r="36" spans="1:3" ht="16.5" thickBot="1">
      <c r="A36" s="726">
        <v>21</v>
      </c>
      <c r="B36" s="727" t="s">
        <v>257</v>
      </c>
      <c r="C36" s="728" t="s">
        <v>199</v>
      </c>
    </row>
    <row r="37" spans="1:3" ht="16.5" thickBot="1">
      <c r="A37" s="726">
        <v>22</v>
      </c>
      <c r="B37" s="727" t="s">
        <v>258</v>
      </c>
      <c r="C37" s="732" t="s">
        <v>199</v>
      </c>
    </row>
    <row r="38" spans="1:3" ht="16.5" thickBot="1">
      <c r="A38" s="726">
        <v>23</v>
      </c>
      <c r="B38" s="727" t="s">
        <v>259</v>
      </c>
      <c r="C38" s="728" t="s">
        <v>199</v>
      </c>
    </row>
    <row r="39" spans="1:3" ht="16.5" thickBot="1">
      <c r="A39" s="726">
        <v>24</v>
      </c>
      <c r="B39" s="727" t="s">
        <v>260</v>
      </c>
      <c r="C39" s="730" t="s">
        <v>203</v>
      </c>
    </row>
    <row r="40" spans="1:3" ht="16.5" thickBot="1">
      <c r="A40" s="726">
        <v>25</v>
      </c>
      <c r="B40" s="727" t="s">
        <v>204</v>
      </c>
      <c r="C40" s="728" t="s">
        <v>205</v>
      </c>
    </row>
    <row r="41" spans="1:3" ht="16.5" thickBot="1">
      <c r="A41" s="726">
        <v>26</v>
      </c>
      <c r="B41" s="727" t="s">
        <v>206</v>
      </c>
      <c r="C41" s="728" t="s">
        <v>205</v>
      </c>
    </row>
    <row r="42" spans="1:3" ht="16.5" thickBot="1">
      <c r="A42" s="726">
        <v>27</v>
      </c>
      <c r="B42" s="727" t="s">
        <v>207</v>
      </c>
      <c r="C42" s="728" t="s">
        <v>208</v>
      </c>
    </row>
    <row r="43" spans="1:3" ht="18" customHeight="1" thickBot="1">
      <c r="A43" s="726">
        <v>28</v>
      </c>
      <c r="B43" s="727" t="s">
        <v>209</v>
      </c>
      <c r="C43" s="728" t="s">
        <v>208</v>
      </c>
    </row>
    <row r="44" spans="1:3" ht="16.5" thickBot="1">
      <c r="A44" s="835">
        <v>29</v>
      </c>
      <c r="B44" s="838" t="s">
        <v>261</v>
      </c>
      <c r="C44" s="728" t="s">
        <v>210</v>
      </c>
    </row>
    <row r="45" spans="1:3" ht="16.5" customHeight="1" thickBot="1">
      <c r="A45" s="837"/>
      <c r="B45" s="840"/>
      <c r="C45" s="728" t="s">
        <v>211</v>
      </c>
    </row>
    <row r="46" spans="1:3" ht="16.5" thickBot="1">
      <c r="A46" s="835">
        <v>30</v>
      </c>
      <c r="B46" s="838" t="s">
        <v>262</v>
      </c>
      <c r="C46" s="728" t="s">
        <v>210</v>
      </c>
    </row>
    <row r="47" spans="1:3" ht="17.25" customHeight="1" thickBot="1">
      <c r="A47" s="837"/>
      <c r="B47" s="840"/>
      <c r="C47" s="728" t="s">
        <v>211</v>
      </c>
    </row>
    <row r="48" spans="1:3" ht="16.5" thickBot="1">
      <c r="A48" s="835">
        <v>31</v>
      </c>
      <c r="B48" s="838" t="s">
        <v>263</v>
      </c>
      <c r="C48" s="728" t="s">
        <v>210</v>
      </c>
    </row>
    <row r="49" spans="1:3" ht="16.5" thickBot="1">
      <c r="A49" s="837"/>
      <c r="B49" s="840"/>
      <c r="C49" s="728" t="s">
        <v>211</v>
      </c>
    </row>
    <row r="50" spans="1:3" ht="16.5" thickBot="1">
      <c r="A50" s="726">
        <v>32</v>
      </c>
      <c r="B50" s="727" t="s">
        <v>264</v>
      </c>
      <c r="C50" s="733" t="s">
        <v>212</v>
      </c>
    </row>
    <row r="51" spans="1:3" ht="16.5" thickBot="1">
      <c r="A51" s="726">
        <v>33</v>
      </c>
      <c r="B51" s="727" t="s">
        <v>265</v>
      </c>
      <c r="C51" s="733" t="s">
        <v>212</v>
      </c>
    </row>
    <row r="52" spans="1:3" ht="16.5" thickBot="1">
      <c r="A52" s="726">
        <v>34</v>
      </c>
      <c r="B52" s="727" t="s">
        <v>266</v>
      </c>
      <c r="C52" s="733" t="s">
        <v>212</v>
      </c>
    </row>
    <row r="53" spans="1:3" ht="16.5" thickBot="1">
      <c r="A53" s="726">
        <v>35</v>
      </c>
      <c r="B53" s="727" t="s">
        <v>267</v>
      </c>
      <c r="C53" s="733" t="s">
        <v>212</v>
      </c>
    </row>
    <row r="54" spans="1:3" ht="16.5" thickBot="1">
      <c r="A54" s="726">
        <v>36</v>
      </c>
      <c r="B54" s="727" t="s">
        <v>268</v>
      </c>
      <c r="C54" s="730" t="s">
        <v>212</v>
      </c>
    </row>
    <row r="55" spans="1:3" ht="16.5" thickBot="1">
      <c r="A55" s="726">
        <v>37</v>
      </c>
      <c r="B55" s="727" t="s">
        <v>269</v>
      </c>
      <c r="C55" s="730" t="s">
        <v>212</v>
      </c>
    </row>
    <row r="56" spans="1:3" ht="16.5" thickBot="1">
      <c r="A56" s="726">
        <v>38</v>
      </c>
      <c r="B56" s="734" t="s">
        <v>270</v>
      </c>
      <c r="C56" s="732" t="s">
        <v>210</v>
      </c>
    </row>
    <row r="57" spans="1:3" ht="16.5" thickBot="1">
      <c r="A57" s="726">
        <v>39</v>
      </c>
      <c r="B57" s="734" t="s">
        <v>271</v>
      </c>
      <c r="C57" s="732" t="s">
        <v>210</v>
      </c>
    </row>
    <row r="58" spans="1:3" ht="16.5" thickBot="1">
      <c r="A58" s="726">
        <v>40</v>
      </c>
      <c r="B58" s="734" t="s">
        <v>272</v>
      </c>
      <c r="C58" s="732" t="s">
        <v>210</v>
      </c>
    </row>
    <row r="59" spans="1:3" ht="16.5" thickBot="1">
      <c r="A59" s="726">
        <v>41</v>
      </c>
      <c r="B59" s="734" t="s">
        <v>273</v>
      </c>
      <c r="C59" s="732" t="s">
        <v>210</v>
      </c>
    </row>
    <row r="60" spans="1:3" ht="16.5" thickBot="1">
      <c r="A60" s="726">
        <v>42</v>
      </c>
      <c r="B60" s="734" t="s">
        <v>274</v>
      </c>
      <c r="C60" s="732" t="s">
        <v>210</v>
      </c>
    </row>
    <row r="61" spans="1:3" ht="16.5" thickBot="1">
      <c r="A61" s="726">
        <v>43</v>
      </c>
      <c r="B61" s="734" t="s">
        <v>275</v>
      </c>
      <c r="C61" s="732" t="s">
        <v>210</v>
      </c>
    </row>
    <row r="62" spans="1:3" ht="16.5" thickBot="1">
      <c r="A62" s="835">
        <v>44</v>
      </c>
      <c r="B62" s="838" t="s">
        <v>213</v>
      </c>
      <c r="C62" s="732" t="s">
        <v>214</v>
      </c>
    </row>
    <row r="63" spans="1:3" ht="16.5" thickBot="1">
      <c r="A63" s="837"/>
      <c r="B63" s="840"/>
      <c r="C63" s="730" t="s">
        <v>212</v>
      </c>
    </row>
    <row r="64" spans="1:3" ht="16.5" thickBot="1">
      <c r="A64" s="726">
        <v>45</v>
      </c>
      <c r="B64" s="734" t="s">
        <v>276</v>
      </c>
      <c r="C64" s="730" t="s">
        <v>198</v>
      </c>
    </row>
    <row r="65" spans="1:3" ht="16.5" thickBot="1">
      <c r="A65" s="726">
        <v>46</v>
      </c>
      <c r="B65" s="734" t="s">
        <v>215</v>
      </c>
      <c r="C65" s="730" t="s">
        <v>216</v>
      </c>
    </row>
    <row r="66" spans="1:3" ht="16.5" thickBot="1">
      <c r="A66" s="726">
        <v>47</v>
      </c>
      <c r="B66" s="734" t="s">
        <v>217</v>
      </c>
      <c r="C66" s="730" t="s">
        <v>216</v>
      </c>
    </row>
    <row r="67" spans="1:3" ht="16.5" thickBot="1">
      <c r="A67" s="726">
        <v>48</v>
      </c>
      <c r="B67" s="734" t="s">
        <v>218</v>
      </c>
      <c r="C67" s="730" t="s">
        <v>216</v>
      </c>
    </row>
    <row r="68" spans="1:3" ht="16.5" thickBot="1">
      <c r="A68" s="726">
        <v>49</v>
      </c>
      <c r="B68" s="734" t="s">
        <v>219</v>
      </c>
      <c r="C68" s="730" t="s">
        <v>216</v>
      </c>
    </row>
    <row r="69" spans="1:3" ht="16.5" thickBot="1">
      <c r="A69" s="726">
        <v>50</v>
      </c>
      <c r="B69" s="734" t="s">
        <v>220</v>
      </c>
      <c r="C69" s="730" t="s">
        <v>216</v>
      </c>
    </row>
    <row r="70" spans="1:3" ht="16.5" thickBot="1">
      <c r="A70" s="726">
        <v>51</v>
      </c>
      <c r="B70" s="734" t="s">
        <v>221</v>
      </c>
      <c r="C70" s="730" t="s">
        <v>216</v>
      </c>
    </row>
    <row r="71" spans="1:3" ht="16.5" thickBot="1">
      <c r="A71" s="726">
        <v>52</v>
      </c>
      <c r="B71" s="734" t="s">
        <v>222</v>
      </c>
      <c r="C71" s="730" t="s">
        <v>223</v>
      </c>
    </row>
    <row r="72" spans="1:3" ht="16.5" thickBot="1">
      <c r="A72" s="726">
        <v>53</v>
      </c>
      <c r="B72" s="734" t="s">
        <v>224</v>
      </c>
      <c r="C72" s="730" t="s">
        <v>208</v>
      </c>
    </row>
    <row r="73" spans="1:3" ht="16.5" thickBot="1">
      <c r="A73" s="726">
        <v>54</v>
      </c>
      <c r="B73" s="734" t="s">
        <v>278</v>
      </c>
      <c r="C73" s="730" t="s">
        <v>281</v>
      </c>
    </row>
    <row r="74" spans="1:3" ht="16.5" thickBot="1">
      <c r="A74" s="726">
        <v>55</v>
      </c>
      <c r="B74" s="734" t="s">
        <v>279</v>
      </c>
      <c r="C74" s="730" t="s">
        <v>282</v>
      </c>
    </row>
    <row r="75" spans="1:3" ht="19.5" customHeight="1" thickBot="1">
      <c r="A75" s="726">
        <v>56</v>
      </c>
      <c r="B75" s="734" t="s">
        <v>280</v>
      </c>
      <c r="C75" s="730" t="s">
        <v>283</v>
      </c>
    </row>
    <row r="76" spans="1:3" s="736" customFormat="1" ht="50.25" customHeight="1">
      <c r="A76" s="841" t="s">
        <v>277</v>
      </c>
      <c r="B76" s="842"/>
      <c r="C76" s="842"/>
    </row>
    <row r="77" ht="15.75">
      <c r="A77" s="735"/>
    </row>
    <row r="78" ht="15.75">
      <c r="A78" s="735"/>
    </row>
    <row r="79" ht="15.75">
      <c r="A79" s="735"/>
    </row>
    <row r="80" ht="15.75">
      <c r="A80" s="735"/>
    </row>
  </sheetData>
  <sheetProtection password="CE1C" sheet="1" objects="1" scenarios="1"/>
  <mergeCells count="16">
    <mergeCell ref="A62:A63"/>
    <mergeCell ref="B62:B63"/>
    <mergeCell ref="A76:C76"/>
    <mergeCell ref="A46:A47"/>
    <mergeCell ref="B46:B47"/>
    <mergeCell ref="A48:A49"/>
    <mergeCell ref="B48:B49"/>
    <mergeCell ref="A34:A35"/>
    <mergeCell ref="B34:B35"/>
    <mergeCell ref="A44:A45"/>
    <mergeCell ref="B44:B45"/>
    <mergeCell ref="A5:C10"/>
    <mergeCell ref="A24:A26"/>
    <mergeCell ref="B24:B26"/>
    <mergeCell ref="A30:A31"/>
    <mergeCell ref="B30:B31"/>
  </mergeCells>
  <printOptions/>
  <pageMargins left="0.4" right="0.24" top="0.34" bottom="0.62" header="0.26" footer="0.23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>
    <tabColor indexed="48"/>
  </sheetPr>
  <dimension ref="B1:W38"/>
  <sheetViews>
    <sheetView showGridLines="0" tabSelected="1" zoomScale="71" zoomScaleNormal="71" workbookViewId="0" topLeftCell="A1">
      <pane xSplit="16" ySplit="35" topLeftCell="Q36" activePane="bottomRight" state="frozen"/>
      <selection pane="topLeft" activeCell="A1" sqref="A1"/>
      <selection pane="topRight" activeCell="Q1" sqref="Q1"/>
      <selection pane="bottomLeft" activeCell="A36" sqref="A36"/>
      <selection pane="bottomRight" activeCell="K30" sqref="K30:N33"/>
    </sheetView>
  </sheetViews>
  <sheetFormatPr defaultColWidth="9.00390625" defaultRowHeight="12.75"/>
  <cols>
    <col min="1" max="1" width="2.75390625" style="188" customWidth="1"/>
    <col min="2" max="3" width="2.625" style="188" customWidth="1"/>
    <col min="4" max="4" width="37.125" style="188" customWidth="1"/>
    <col min="5" max="5" width="9.75390625" style="188" customWidth="1"/>
    <col min="6" max="6" width="21.75390625" style="188" customWidth="1"/>
    <col min="7" max="7" width="5.375" style="188" customWidth="1"/>
    <col min="8" max="8" width="2.75390625" style="188" customWidth="1"/>
    <col min="9" max="10" width="2.625" style="188" customWidth="1"/>
    <col min="11" max="11" width="38.625" style="188" customWidth="1"/>
    <col min="12" max="12" width="9.625" style="188" customWidth="1"/>
    <col min="13" max="13" width="22.25390625" style="188" customWidth="1"/>
    <col min="14" max="14" width="5.25390625" style="188" customWidth="1"/>
    <col min="15" max="16" width="2.75390625" style="188" customWidth="1"/>
    <col min="17" max="17" width="2.00390625" style="189" customWidth="1"/>
    <col min="18" max="18" width="11.625" style="189" hidden="1" customWidth="1"/>
    <col min="19" max="22" width="11.625" style="188" hidden="1" customWidth="1"/>
    <col min="23" max="23" width="11.625" style="188" customWidth="1"/>
    <col min="24" max="26" width="12.875" style="188" customWidth="1"/>
    <col min="27" max="16384" width="9.125" style="188" customWidth="1"/>
  </cols>
  <sheetData>
    <row r="1" spans="18:22" ht="8.25" customHeight="1" thickBot="1">
      <c r="R1" s="190">
        <v>1</v>
      </c>
      <c r="S1" s="190">
        <v>2</v>
      </c>
      <c r="T1" s="441">
        <v>3</v>
      </c>
      <c r="U1" s="442">
        <v>4</v>
      </c>
      <c r="V1" s="191"/>
    </row>
    <row r="2" spans="2:22" ht="10.5" customHeight="1"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4"/>
      <c r="Q2" s="188"/>
      <c r="R2" s="192" t="s">
        <v>41</v>
      </c>
      <c r="S2" s="192" t="s">
        <v>8</v>
      </c>
      <c r="T2" s="441"/>
      <c r="U2" s="442" t="s">
        <v>54</v>
      </c>
      <c r="V2" s="193"/>
    </row>
    <row r="3" spans="2:22" ht="18" customHeight="1">
      <c r="B3" s="155"/>
      <c r="C3" s="141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141"/>
      <c r="P3" s="157"/>
      <c r="Q3" s="188"/>
      <c r="R3" s="192" t="s">
        <v>42</v>
      </c>
      <c r="S3" s="192" t="s">
        <v>37</v>
      </c>
      <c r="T3" s="441"/>
      <c r="U3" s="441" t="s">
        <v>55</v>
      </c>
      <c r="V3" s="194"/>
    </row>
    <row r="4" spans="2:21" ht="15" customHeight="1" thickBot="1">
      <c r="B4" s="155"/>
      <c r="C4" s="801" t="s">
        <v>89</v>
      </c>
      <c r="D4" s="801"/>
      <c r="E4" s="801"/>
      <c r="F4" s="801"/>
      <c r="G4" s="801"/>
      <c r="H4" s="801"/>
      <c r="I4" s="801"/>
      <c r="J4" s="801"/>
      <c r="K4" s="801"/>
      <c r="L4" s="801"/>
      <c r="M4" s="801"/>
      <c r="N4" s="156"/>
      <c r="O4" s="141"/>
      <c r="P4" s="157"/>
      <c r="Q4" s="188"/>
      <c r="R4" s="188"/>
      <c r="S4" s="192" t="s">
        <v>58</v>
      </c>
      <c r="T4" s="441"/>
      <c r="U4" s="443"/>
    </row>
    <row r="5" spans="2:21" ht="18" customHeight="1">
      <c r="B5" s="155"/>
      <c r="C5" s="155"/>
      <c r="D5" s="205" t="s">
        <v>57</v>
      </c>
      <c r="E5" s="211"/>
      <c r="F5" s="211"/>
      <c r="G5" s="211"/>
      <c r="H5" s="211"/>
      <c r="I5" s="211"/>
      <c r="J5" s="211"/>
      <c r="K5" s="211"/>
      <c r="L5" s="211"/>
      <c r="M5" s="211"/>
      <c r="N5" s="348"/>
      <c r="O5" s="154"/>
      <c r="P5" s="340"/>
      <c r="Q5" s="188"/>
      <c r="R5" s="443"/>
      <c r="S5" s="443"/>
      <c r="T5" s="441"/>
      <c r="U5" s="443"/>
    </row>
    <row r="6" spans="2:21" ht="18" customHeight="1" thickBot="1">
      <c r="B6" s="155"/>
      <c r="C6" s="155"/>
      <c r="D6" s="144" t="s">
        <v>4</v>
      </c>
      <c r="E6" s="141"/>
      <c r="F6" s="150">
        <v>1</v>
      </c>
      <c r="G6" s="141"/>
      <c r="H6" s="156"/>
      <c r="I6" s="156"/>
      <c r="J6" s="156"/>
      <c r="K6" s="139" t="s">
        <v>5</v>
      </c>
      <c r="L6" s="148"/>
      <c r="M6" s="164">
        <v>1</v>
      </c>
      <c r="N6" s="141"/>
      <c r="O6" s="157"/>
      <c r="P6" s="157"/>
      <c r="Q6" s="188"/>
      <c r="R6" s="443"/>
      <c r="S6" s="443"/>
      <c r="T6" s="441"/>
      <c r="U6" s="443"/>
    </row>
    <row r="7" spans="2:21" ht="18" customHeight="1" thickBot="1">
      <c r="B7" s="155"/>
      <c r="C7" s="155"/>
      <c r="D7" s="143"/>
      <c r="E7" s="205"/>
      <c r="F7" s="205"/>
      <c r="G7" s="148"/>
      <c r="H7" s="148"/>
      <c r="I7" s="148"/>
      <c r="J7" s="143"/>
      <c r="K7" s="139" t="s">
        <v>85</v>
      </c>
      <c r="L7" s="148"/>
      <c r="M7" s="249">
        <v>36</v>
      </c>
      <c r="N7" s="182" t="s">
        <v>81</v>
      </c>
      <c r="O7" s="157"/>
      <c r="P7" s="157"/>
      <c r="Q7" s="188"/>
      <c r="R7" s="444" t="s">
        <v>53</v>
      </c>
      <c r="S7" s="445"/>
      <c r="T7" s="443"/>
      <c r="U7" s="443"/>
    </row>
    <row r="8" spans="2:21" ht="18" customHeight="1" thickBot="1">
      <c r="B8" s="155"/>
      <c r="C8" s="155"/>
      <c r="D8" s="144" t="s">
        <v>19</v>
      </c>
      <c r="E8" s="141"/>
      <c r="F8" s="175">
        <f>SUM(F9:F12)</f>
        <v>316800</v>
      </c>
      <c r="G8" s="179" t="str">
        <f>IF($M$6=1,"руб.",IF($M$6=2,"$","евро"))</f>
        <v>руб.</v>
      </c>
      <c r="H8" s="141"/>
      <c r="I8" s="141"/>
      <c r="J8" s="141"/>
      <c r="K8" s="144" t="s">
        <v>20</v>
      </c>
      <c r="L8" s="144"/>
      <c r="M8" s="148"/>
      <c r="N8" s="148"/>
      <c r="O8" s="157"/>
      <c r="P8" s="157"/>
      <c r="Q8" s="188"/>
      <c r="R8" s="446"/>
      <c r="S8" s="447"/>
      <c r="T8" s="443"/>
      <c r="U8" s="443"/>
    </row>
    <row r="9" spans="2:21" ht="18" customHeight="1" thickBot="1">
      <c r="B9" s="340"/>
      <c r="C9" s="141"/>
      <c r="D9" s="145" t="s">
        <v>11</v>
      </c>
      <c r="E9" s="141"/>
      <c r="F9" s="147">
        <v>300000</v>
      </c>
      <c r="G9" s="180" t="str">
        <f>IF($M$6=1,"руб.",IF($M$6=2,"$","евро"))</f>
        <v>руб.</v>
      </c>
      <c r="H9" s="141"/>
      <c r="I9" s="141"/>
      <c r="J9" s="141"/>
      <c r="K9" s="165" t="s">
        <v>17</v>
      </c>
      <c r="L9" s="174">
        <f>IF(F6=1,'Условия программ'!D68,'Условия программ'!J68)</f>
        <v>0.2</v>
      </c>
      <c r="M9" s="177">
        <f>F8*L9</f>
        <v>63360</v>
      </c>
      <c r="N9" s="180" t="str">
        <f>IF($M$6=1,"руб.",IF($M$6=2,"$","евро"))</f>
        <v>руб.</v>
      </c>
      <c r="O9" s="141"/>
      <c r="P9" s="340"/>
      <c r="Q9" s="188"/>
      <c r="R9" s="446"/>
      <c r="S9" s="447"/>
      <c r="T9" s="443"/>
      <c r="U9" s="443"/>
    </row>
    <row r="10" spans="2:21" ht="18" customHeight="1" thickBot="1">
      <c r="B10" s="340"/>
      <c r="C10" s="141"/>
      <c r="D10" s="160" t="s">
        <v>56</v>
      </c>
      <c r="E10" s="176">
        <f>F10/F9</f>
        <v>0</v>
      </c>
      <c r="F10" s="147">
        <v>0</v>
      </c>
      <c r="G10" s="180" t="str">
        <f>IF($M$6=1,"руб.",IF($M$6=2,"$","евро"))</f>
        <v>руб.</v>
      </c>
      <c r="H10" s="141"/>
      <c r="I10" s="141"/>
      <c r="J10" s="141"/>
      <c r="K10" s="166" t="s">
        <v>18</v>
      </c>
      <c r="L10" s="178">
        <f>ROUND(M10/F8,4)</f>
        <v>0.4735</v>
      </c>
      <c r="M10" s="185">
        <v>150000</v>
      </c>
      <c r="N10" s="180" t="str">
        <f>IF($M$6=1,"руб.",IF($M$6=2,"$","евро"))</f>
        <v>руб.</v>
      </c>
      <c r="O10" s="347"/>
      <c r="P10" s="157"/>
      <c r="Q10" s="188"/>
      <c r="R10" s="448"/>
      <c r="S10" s="447"/>
      <c r="T10" s="443"/>
      <c r="U10" s="443"/>
    </row>
    <row r="11" spans="2:21" ht="18" customHeight="1" thickBot="1">
      <c r="B11" s="155"/>
      <c r="C11" s="341"/>
      <c r="D11" s="146" t="s">
        <v>87</v>
      </c>
      <c r="E11" s="162">
        <v>0.056</v>
      </c>
      <c r="F11" s="177">
        <f>ROUNDUP((F9+F10)*E11,0)</f>
        <v>16800</v>
      </c>
      <c r="G11" s="180" t="str">
        <f>IF($M$6=1,"руб.",IF($M$6=2,"$","евро"))</f>
        <v>руб.</v>
      </c>
      <c r="H11" s="181"/>
      <c r="I11" s="141"/>
      <c r="J11" s="141"/>
      <c r="K11" s="339" t="s">
        <v>70</v>
      </c>
      <c r="L11" s="168"/>
      <c r="M11" s="248" t="s">
        <v>40</v>
      </c>
      <c r="N11" s="149"/>
      <c r="O11" s="157"/>
      <c r="P11" s="157"/>
      <c r="Q11" s="188"/>
      <c r="R11" s="446"/>
      <c r="S11" s="449"/>
      <c r="T11" s="443">
        <v>100</v>
      </c>
      <c r="U11" s="443"/>
    </row>
    <row r="12" spans="2:23" ht="9" customHeight="1" thickBot="1">
      <c r="B12" s="159"/>
      <c r="C12" s="342"/>
      <c r="D12" s="343"/>
      <c r="E12" s="141"/>
      <c r="F12" s="163"/>
      <c r="G12" s="298"/>
      <c r="H12" s="171"/>
      <c r="I12" s="141"/>
      <c r="J12" s="141"/>
      <c r="K12" s="141"/>
      <c r="L12" s="141"/>
      <c r="M12" s="345"/>
      <c r="N12" s="144"/>
      <c r="O12" s="141"/>
      <c r="P12" s="340"/>
      <c r="Q12" s="188"/>
      <c r="R12" s="450"/>
      <c r="S12" s="451"/>
      <c r="T12" s="443"/>
      <c r="U12" s="443"/>
      <c r="W12" s="197"/>
    </row>
    <row r="13" spans="2:21" ht="9" customHeight="1" thickBot="1">
      <c r="B13" s="159"/>
      <c r="C13" s="336"/>
      <c r="D13" s="141"/>
      <c r="E13" s="153"/>
      <c r="F13" s="153"/>
      <c r="G13" s="141"/>
      <c r="H13" s="161"/>
      <c r="I13" s="344"/>
      <c r="J13" s="344"/>
      <c r="K13" s="153"/>
      <c r="L13" s="153"/>
      <c r="M13" s="141"/>
      <c r="N13" s="346"/>
      <c r="O13" s="153"/>
      <c r="P13" s="157"/>
      <c r="Q13" s="188"/>
      <c r="R13" s="444" t="s">
        <v>69</v>
      </c>
      <c r="S13" s="452"/>
      <c r="T13" s="445"/>
      <c r="U13" s="443"/>
    </row>
    <row r="14" spans="2:21" ht="25.5" customHeight="1" thickBot="1">
      <c r="B14" s="159"/>
      <c r="C14" s="794" t="s">
        <v>112</v>
      </c>
      <c r="D14" s="795"/>
      <c r="E14" s="795"/>
      <c r="F14" s="795"/>
      <c r="G14" s="795"/>
      <c r="H14" s="796"/>
      <c r="I14" s="141"/>
      <c r="J14" s="794" t="s">
        <v>111</v>
      </c>
      <c r="K14" s="795"/>
      <c r="L14" s="795"/>
      <c r="M14" s="795"/>
      <c r="N14" s="795"/>
      <c r="O14" s="796"/>
      <c r="P14" s="157"/>
      <c r="Q14" s="188"/>
      <c r="R14" s="446" t="s">
        <v>47</v>
      </c>
      <c r="S14" s="453" t="e">
        <f>F17*'Условия программ'!#REF!</f>
        <v>#REF!</v>
      </c>
      <c r="T14" s="454"/>
      <c r="U14" s="443"/>
    </row>
    <row r="15" spans="2:21" ht="18" customHeight="1" thickBot="1">
      <c r="B15" s="159"/>
      <c r="C15" s="350"/>
      <c r="D15" s="331" t="s">
        <v>110</v>
      </c>
      <c r="E15" s="108"/>
      <c r="F15" s="186">
        <f>IF(F6=1,IF(M6=1,IF(M7&lt;=36,'Условия программ'!D69,'Условия программ'!D70),IF(M7&lt;=36,'Условия программ'!D76,'Условия программ'!D77)),IF(M6=1,'Условия программ'!J69,'Условия программ'!J76))</f>
        <v>0.185</v>
      </c>
      <c r="G15" s="141"/>
      <c r="H15" s="141"/>
      <c r="I15" s="207"/>
      <c r="J15" s="364"/>
      <c r="K15" s="331" t="s">
        <v>110</v>
      </c>
      <c r="L15" s="108"/>
      <c r="M15" s="186">
        <f>IF(M6=1,IF(M7&lt;=36,'Условия программ'!Q69,'Условия программ'!Q70),IF(M7&lt;=36,'Условия программ'!Q76,'Условия программ'!Q77))</f>
        <v>0.165</v>
      </c>
      <c r="N15" s="90"/>
      <c r="O15" s="90"/>
      <c r="P15" s="209"/>
      <c r="Q15" s="188"/>
      <c r="R15" s="446" t="s">
        <v>45</v>
      </c>
      <c r="S15" s="453" t="e">
        <f>IF(S14&lt;='Условия программ'!#REF!,'Условия программ'!#REF!,S14)</f>
        <v>#REF!</v>
      </c>
      <c r="T15" s="454" t="s">
        <v>60</v>
      </c>
      <c r="U15" s="443"/>
    </row>
    <row r="16" spans="2:21" ht="9" customHeight="1" thickBot="1">
      <c r="B16" s="159"/>
      <c r="C16" s="350"/>
      <c r="D16" s="90"/>
      <c r="E16" s="90"/>
      <c r="F16" s="332"/>
      <c r="G16" s="142"/>
      <c r="H16" s="141"/>
      <c r="I16" s="207"/>
      <c r="J16" s="364"/>
      <c r="K16" s="90"/>
      <c r="L16" s="90"/>
      <c r="M16" s="309"/>
      <c r="N16" s="90"/>
      <c r="O16" s="362"/>
      <c r="P16" s="157"/>
      <c r="Q16" s="188"/>
      <c r="R16" s="446" t="s">
        <v>45</v>
      </c>
      <c r="S16" s="453" t="e">
        <f>IF(S14&lt;='Условия программ'!#REF!,'Условия программ'!#REF!,S14)</f>
        <v>#REF!</v>
      </c>
      <c r="T16" s="454" t="s">
        <v>49</v>
      </c>
      <c r="U16" s="443"/>
    </row>
    <row r="17" spans="2:21" ht="18" customHeight="1" thickBot="1">
      <c r="B17" s="159"/>
      <c r="C17" s="350"/>
      <c r="D17" s="491" t="s">
        <v>43</v>
      </c>
      <c r="E17" s="90"/>
      <c r="F17" s="335">
        <f>F8-M10</f>
        <v>166800</v>
      </c>
      <c r="G17" s="151" t="str">
        <f>IF($M$6=1,"руб.",IF($M$6=2,"$","евро"))</f>
        <v>руб.</v>
      </c>
      <c r="H17" s="141"/>
      <c r="I17" s="207"/>
      <c r="J17" s="364"/>
      <c r="K17" s="304" t="s">
        <v>131</v>
      </c>
      <c r="L17" s="90"/>
      <c r="M17" s="311">
        <f>F8-M10</f>
        <v>166800</v>
      </c>
      <c r="N17" s="87" t="str">
        <f>IF($M$6=1,"руб.",IF($M$6=2,"$","евро"))</f>
        <v>руб.</v>
      </c>
      <c r="O17" s="362"/>
      <c r="P17" s="157"/>
      <c r="Q17" s="188"/>
      <c r="R17" s="450" t="s">
        <v>45</v>
      </c>
      <c r="S17" s="455" t="e">
        <f>IF(S14&lt;='Условия программ'!#REF!,'Условия программ'!#REF!,S14)</f>
        <v>#REF!</v>
      </c>
      <c r="T17" s="456" t="s">
        <v>36</v>
      </c>
      <c r="U17" s="443"/>
    </row>
    <row r="18" spans="2:21" ht="9" customHeight="1" thickBot="1">
      <c r="B18" s="351"/>
      <c r="C18" s="336"/>
      <c r="D18" s="305"/>
      <c r="E18" s="100"/>
      <c r="F18" s="332"/>
      <c r="G18" s="141"/>
      <c r="H18" s="208"/>
      <c r="I18" s="349"/>
      <c r="J18" s="292"/>
      <c r="K18" s="305"/>
      <c r="L18" s="100"/>
      <c r="M18" s="312"/>
      <c r="N18" s="90"/>
      <c r="O18" s="90"/>
      <c r="P18" s="209"/>
      <c r="Q18" s="188"/>
      <c r="R18" s="444" t="s">
        <v>61</v>
      </c>
      <c r="S18" s="445"/>
      <c r="T18" s="443"/>
      <c r="U18" s="443"/>
    </row>
    <row r="19" spans="2:21" ht="18" customHeight="1" thickBot="1">
      <c r="B19" s="159"/>
      <c r="C19" s="350"/>
      <c r="D19" s="784" t="s">
        <v>103</v>
      </c>
      <c r="E19" s="784"/>
      <c r="F19" s="313" t="s">
        <v>29</v>
      </c>
      <c r="G19" s="354" t="str">
        <f>IF($M$6=1,"руб.",IF($M$6=2,"$","евро"))</f>
        <v>руб.</v>
      </c>
      <c r="H19" s="208"/>
      <c r="I19" s="141"/>
      <c r="J19" s="364"/>
      <c r="K19" s="784" t="s">
        <v>103</v>
      </c>
      <c r="L19" s="784"/>
      <c r="M19" s="311">
        <f>M21-M17</f>
        <v>10082.29056203604</v>
      </c>
      <c r="N19" s="87" t="str">
        <f>IF($M$6=1,"руб.",IF($M$6=2,"$","евро"))</f>
        <v>руб.</v>
      </c>
      <c r="O19" s="90"/>
      <c r="P19" s="209"/>
      <c r="Q19" s="188"/>
      <c r="R19" s="446"/>
      <c r="S19" s="454"/>
      <c r="T19" s="443">
        <v>10</v>
      </c>
      <c r="U19" s="443"/>
    </row>
    <row r="20" spans="2:21" ht="9" customHeight="1" thickBot="1">
      <c r="B20" s="159"/>
      <c r="C20" s="350"/>
      <c r="D20" s="306"/>
      <c r="E20" s="306"/>
      <c r="F20" s="323"/>
      <c r="G20" s="141"/>
      <c r="H20" s="208"/>
      <c r="I20" s="141"/>
      <c r="J20" s="364"/>
      <c r="K20" s="306"/>
      <c r="L20" s="306"/>
      <c r="M20" s="314"/>
      <c r="N20" s="99"/>
      <c r="O20" s="90"/>
      <c r="P20" s="209"/>
      <c r="Q20" s="188"/>
      <c r="R20" s="450"/>
      <c r="S20" s="456"/>
      <c r="T20" s="443"/>
      <c r="U20" s="443"/>
    </row>
    <row r="21" spans="2:18" ht="18" customHeight="1" thickBot="1">
      <c r="B21" s="159"/>
      <c r="C21" s="350"/>
      <c r="D21" s="304" t="s">
        <v>104</v>
      </c>
      <c r="E21" s="88"/>
      <c r="F21" s="335">
        <f>F17</f>
        <v>166800</v>
      </c>
      <c r="G21" s="151" t="str">
        <f>IF($M$6=1,"руб.",IF($M$6=2,"$","евро"))</f>
        <v>руб.</v>
      </c>
      <c r="H21" s="148"/>
      <c r="I21" s="206"/>
      <c r="J21" s="364"/>
      <c r="K21" s="491" t="s">
        <v>130</v>
      </c>
      <c r="L21" s="88"/>
      <c r="M21" s="311">
        <f>M17/(1-'Условия программ'!S108*M7/12)</f>
        <v>176882.29056203604</v>
      </c>
      <c r="N21" s="87" t="str">
        <f>N17</f>
        <v>руб.</v>
      </c>
      <c r="O21" s="90"/>
      <c r="P21" s="209"/>
      <c r="Q21" s="188"/>
      <c r="R21" s="457" t="s">
        <v>119</v>
      </c>
    </row>
    <row r="22" spans="2:20" ht="9" customHeight="1" thickBot="1">
      <c r="B22" s="351"/>
      <c r="C22" s="336"/>
      <c r="D22" s="99"/>
      <c r="E22" s="99"/>
      <c r="F22" s="333"/>
      <c r="G22" s="141"/>
      <c r="H22" s="357"/>
      <c r="I22" s="338"/>
      <c r="J22" s="364"/>
      <c r="K22" s="99"/>
      <c r="L22" s="99"/>
      <c r="M22" s="315"/>
      <c r="N22" s="99"/>
      <c r="O22" s="140"/>
      <c r="P22" s="209"/>
      <c r="Q22" s="188"/>
      <c r="R22" s="195" t="s">
        <v>62</v>
      </c>
      <c r="S22" s="199"/>
      <c r="T22" s="196"/>
    </row>
    <row r="23" spans="2:20" ht="18" customHeight="1" thickBot="1">
      <c r="B23" s="351"/>
      <c r="C23" s="336"/>
      <c r="D23" s="304" t="s">
        <v>106</v>
      </c>
      <c r="E23" s="316"/>
      <c r="F23" s="355" t="s">
        <v>93</v>
      </c>
      <c r="G23" s="181"/>
      <c r="H23" s="358"/>
      <c r="I23" s="338"/>
      <c r="J23" s="364"/>
      <c r="K23" s="304" t="s">
        <v>106</v>
      </c>
      <c r="L23" s="316"/>
      <c r="M23" s="361" t="s">
        <v>93</v>
      </c>
      <c r="N23" s="143"/>
      <c r="O23" s="363"/>
      <c r="P23" s="157"/>
      <c r="Q23" s="188"/>
      <c r="R23" s="192">
        <f>IF($F$6=1,IF($E$10&gt;10%,"Стоимость дополнительного оборудования должна быть не более 10% от стоимости транспортного средства",IF($M$7&lt;12,"Необходимо увеличить срок кредита. Минимальный срок кредитования - 12 месяцев",IF($M$7&gt;60,"Необходимо уменьшить срок кредита. Максимальный срок кредитования - 60 месяцев",IF($L$10&lt;$L$9,"Необходимо увеличить размер первоначального взноса до необходимого минимума - 20% от стоимости транспортного средства",IF($L$10&gt;70%,"Необходимо уменьшить размер первоначального взноса. Максимальный размер - 70% от совокупной стоимости транспортного средства",$R$25))))),$R$24)</f>
      </c>
      <c r="S23" s="200"/>
      <c r="T23" s="201"/>
    </row>
    <row r="24" spans="2:20" ht="9" customHeight="1" thickBot="1">
      <c r="B24" s="159"/>
      <c r="C24" s="350"/>
      <c r="D24" s="88"/>
      <c r="E24" s="99"/>
      <c r="F24" s="356"/>
      <c r="G24" s="141"/>
      <c r="H24" s="149"/>
      <c r="I24" s="360"/>
      <c r="J24" s="364"/>
      <c r="K24" s="143"/>
      <c r="L24" s="99"/>
      <c r="M24" s="143"/>
      <c r="N24" s="139"/>
      <c r="O24" s="208"/>
      <c r="P24" s="157"/>
      <c r="Q24" s="188"/>
      <c r="R24" s="192">
        <f>IF($E$10&gt;10%,"Стоимость дополнительного оборудования должна быть не более 10% от стоимости транспортного средства",IF($M$7&lt;12,"Необходимо увеличить срок кредита. Минимальный срок кредитования - 12 месяцев",IF($M$7&gt;36,"Необходимо уменьшить срок кредита. Максимальный срок кредитования подержанных транспортных средств - 36 месяцев",IF($L$10&lt;$L$9,"Необходимо увеличить размер первоначального взноса до необходимого минимума - 30% от стоимости транспортного средства",IF($L$10&gt;70%,"Необходимо уменьшить размер первоначального взноса. Максимальный размер - 70% от совокупной стоимости транспортного средства",$R$25)))))</f>
      </c>
      <c r="S24" s="200"/>
      <c r="T24" s="201"/>
    </row>
    <row r="25" spans="2:20" ht="18" customHeight="1" thickBot="1">
      <c r="B25" s="351"/>
      <c r="C25" s="336"/>
      <c r="D25" s="308" t="s">
        <v>105</v>
      </c>
      <c r="E25" s="99"/>
      <c r="F25" s="335">
        <f>(F17*(F15/12))/(1-(1+F15/12)^(-M7))</f>
        <v>6072.13954659432</v>
      </c>
      <c r="G25" s="151" t="str">
        <f>IF($M$6=1,"руб.",IF($M$6=2,"$","евро"))</f>
        <v>руб.</v>
      </c>
      <c r="H25" s="359"/>
      <c r="I25" s="291"/>
      <c r="J25" s="364"/>
      <c r="K25" s="308" t="s">
        <v>105</v>
      </c>
      <c r="L25" s="99"/>
      <c r="M25" s="335">
        <f>(M21*(M15/12))/(1-(1+M15/12)^(-M7))</f>
        <v>6262.408281382647</v>
      </c>
      <c r="N25" s="307" t="str">
        <f>IF($M$6=1,"руб.",IF($M$6=2,"$","евро"))</f>
        <v>руб.</v>
      </c>
      <c r="O25" s="208"/>
      <c r="P25" s="157"/>
      <c r="R25" s="192">
        <f>IF($M$6=1,$S$26,IF($M$6=2,$S$27,$S$28))</f>
      </c>
      <c r="T25" s="201"/>
    </row>
    <row r="26" spans="2:20" ht="9" customHeight="1" thickBot="1">
      <c r="B26" s="159"/>
      <c r="C26" s="350"/>
      <c r="D26" s="143"/>
      <c r="E26" s="99"/>
      <c r="F26" s="356"/>
      <c r="G26" s="141"/>
      <c r="H26" s="208"/>
      <c r="I26" s="360"/>
      <c r="J26" s="364"/>
      <c r="K26" s="99"/>
      <c r="L26" s="99"/>
      <c r="M26" s="305"/>
      <c r="N26" s="99"/>
      <c r="O26" s="141"/>
      <c r="P26" s="209"/>
      <c r="R26" s="193" t="s">
        <v>63</v>
      </c>
      <c r="S26" s="192">
        <f>IF($F$17&lt;'Условия программ'!L80,"Сумма кредита должна быть не менее 100 000 рублей","")</f>
      </c>
      <c r="T26" s="201" t="s">
        <v>48</v>
      </c>
    </row>
    <row r="27" spans="2:20" ht="18" customHeight="1" thickBot="1">
      <c r="B27" s="159"/>
      <c r="C27" s="350"/>
      <c r="D27" s="304" t="s">
        <v>107</v>
      </c>
      <c r="E27" s="316"/>
      <c r="F27" s="323">
        <f>F25*M7-F17</f>
        <v>51797.02367739551</v>
      </c>
      <c r="G27" s="354" t="str">
        <f>IF($M$6=1,"руб.",IF($M$6=2,"$","евро"))</f>
        <v>руб.</v>
      </c>
      <c r="H27" s="208"/>
      <c r="I27" s="291"/>
      <c r="J27" s="364"/>
      <c r="K27" s="304" t="s">
        <v>107</v>
      </c>
      <c r="L27" s="99"/>
      <c r="M27" s="440">
        <f>M25*M7-M21</f>
        <v>48564.407567739254</v>
      </c>
      <c r="N27" s="310" t="str">
        <f>IF($M$6=1,"руб.",IF($M$6=2,"$","евро"))</f>
        <v>руб.</v>
      </c>
      <c r="O27" s="141"/>
      <c r="P27" s="209"/>
      <c r="R27" s="193" t="s">
        <v>63</v>
      </c>
      <c r="S27" s="192">
        <f>IF($F$17&lt;'Условия программ'!L81,"Сумма кредита должна быть не менее 3 000 долларов США","")</f>
      </c>
      <c r="T27" s="201" t="s">
        <v>49</v>
      </c>
    </row>
    <row r="28" spans="2:20" ht="9" customHeight="1">
      <c r="B28" s="159"/>
      <c r="C28" s="350"/>
      <c r="D28" s="398"/>
      <c r="E28" s="398"/>
      <c r="F28" s="427"/>
      <c r="G28" s="398"/>
      <c r="H28" s="428"/>
      <c r="I28" s="169"/>
      <c r="J28" s="364"/>
      <c r="K28" s="304"/>
      <c r="L28" s="99"/>
      <c r="M28" s="352"/>
      <c r="N28" s="307"/>
      <c r="O28" s="290"/>
      <c r="P28" s="209"/>
      <c r="R28" s="198" t="s">
        <v>63</v>
      </c>
      <c r="S28" s="192">
        <f>IF($F$17&lt;'Условия программ'!L82,"Сумма кредита должна быть не менее 2 700 евро","")</f>
      </c>
      <c r="T28" s="202" t="s">
        <v>36</v>
      </c>
    </row>
    <row r="29" spans="2:18" s="501" customFormat="1" ht="12.75" customHeight="1" thickBot="1">
      <c r="B29" s="493"/>
      <c r="C29" s="494"/>
      <c r="D29" s="843" t="s">
        <v>44</v>
      </c>
      <c r="E29" s="843"/>
      <c r="F29" s="843"/>
      <c r="G29" s="843"/>
      <c r="H29" s="495"/>
      <c r="I29" s="496"/>
      <c r="J29" s="494"/>
      <c r="K29" s="786" t="s">
        <v>44</v>
      </c>
      <c r="L29" s="786"/>
      <c r="M29" s="786"/>
      <c r="N29" s="786"/>
      <c r="O29" s="497"/>
      <c r="P29" s="498"/>
      <c r="Q29" s="499"/>
      <c r="R29" s="500" t="s">
        <v>116</v>
      </c>
    </row>
    <row r="30" spans="2:20" ht="18" customHeight="1">
      <c r="B30" s="159"/>
      <c r="C30" s="207"/>
      <c r="D30" s="844">
        <f>R23</f>
      </c>
      <c r="E30" s="845"/>
      <c r="F30" s="845"/>
      <c r="G30" s="846"/>
      <c r="H30" s="434"/>
      <c r="I30" s="429"/>
      <c r="J30" s="435"/>
      <c r="K30" s="844">
        <f>R31</f>
      </c>
      <c r="L30" s="845"/>
      <c r="M30" s="845"/>
      <c r="N30" s="846"/>
      <c r="O30" s="324"/>
      <c r="P30" s="209"/>
      <c r="R30" s="195" t="s">
        <v>62</v>
      </c>
      <c r="S30" s="199"/>
      <c r="T30" s="196"/>
    </row>
    <row r="31" spans="2:20" ht="18" customHeight="1">
      <c r="B31" s="159"/>
      <c r="C31" s="433"/>
      <c r="D31" s="847"/>
      <c r="E31" s="848"/>
      <c r="F31" s="848"/>
      <c r="G31" s="849"/>
      <c r="H31" s="434"/>
      <c r="I31" s="429"/>
      <c r="J31" s="435"/>
      <c r="K31" s="847"/>
      <c r="L31" s="848"/>
      <c r="M31" s="848"/>
      <c r="N31" s="849"/>
      <c r="O31" s="324"/>
      <c r="P31" s="209"/>
      <c r="R31" s="192">
        <f>IF($F$6=1,IF($E$10&gt;10%,"Стоимость дополнительного оборудования должна быть не более 10% от стоимости транспортного средства",IF($M$7&lt;12,"Необходимо увеличить срок кредита. Минимальный срок кредитования - 12 месяцев",IF($M$7&gt;60,"Необходимо уменьшить срок кредита. Максимальный срок кредитования - 60 месяцев",IF($L$10&lt;'Условия программ'!Q68,"Необходимо увеличить размер первоначального взноса до необходимого минимума - 40% от стоимости транспортного средства",IF($L$10&gt;70%,"Необходимо уменьшить размер первоначального взноса. Максимальный размер - 70% от совокупной стоимости транспортного средства",R33))))),"Кредитование со страхованием жизни и потери трудоспособности осуществляется только на новые транспортные средства")</f>
      </c>
      <c r="S31" s="200"/>
      <c r="T31" s="201"/>
    </row>
    <row r="32" spans="2:20" ht="18" customHeight="1">
      <c r="B32" s="159"/>
      <c r="C32" s="433"/>
      <c r="D32" s="847"/>
      <c r="E32" s="848"/>
      <c r="F32" s="848"/>
      <c r="G32" s="849"/>
      <c r="H32" s="434"/>
      <c r="I32" s="436"/>
      <c r="J32" s="324"/>
      <c r="K32" s="847"/>
      <c r="L32" s="848"/>
      <c r="M32" s="848"/>
      <c r="N32" s="849"/>
      <c r="O32" s="324"/>
      <c r="P32" s="209"/>
      <c r="R32" s="193"/>
      <c r="S32" s="200"/>
      <c r="T32" s="201"/>
    </row>
    <row r="33" spans="2:20" ht="18" customHeight="1" thickBot="1">
      <c r="B33" s="351"/>
      <c r="C33" s="420"/>
      <c r="D33" s="850"/>
      <c r="E33" s="851"/>
      <c r="F33" s="851"/>
      <c r="G33" s="852"/>
      <c r="H33" s="434"/>
      <c r="I33" s="169"/>
      <c r="J33" s="435"/>
      <c r="K33" s="850"/>
      <c r="L33" s="851"/>
      <c r="M33" s="851"/>
      <c r="N33" s="852"/>
      <c r="O33" s="324"/>
      <c r="P33" s="209"/>
      <c r="R33" s="192">
        <f>IF($M$6=1,S34,IF($M$6=2,S35,S36))</f>
      </c>
      <c r="T33" s="201"/>
    </row>
    <row r="34" spans="2:20" ht="9" customHeight="1" thickBot="1">
      <c r="B34" s="351"/>
      <c r="C34" s="431"/>
      <c r="D34" s="291"/>
      <c r="E34" s="291"/>
      <c r="F34" s="431"/>
      <c r="G34" s="431"/>
      <c r="H34" s="430"/>
      <c r="I34" s="169"/>
      <c r="J34" s="437"/>
      <c r="K34" s="438"/>
      <c r="L34" s="438"/>
      <c r="M34" s="438"/>
      <c r="N34" s="290"/>
      <c r="O34" s="290"/>
      <c r="P34" s="209"/>
      <c r="R34" s="193" t="s">
        <v>120</v>
      </c>
      <c r="S34" s="192">
        <f>IF($M$17&lt;'Условия программ'!S80,"Сумма кредита (заявленная) должна быть не менее 100 000 рублей",IF($M$21&gt;'Условия программ'!Y80,"Итоговая сумма кредита должна быть не более 1 500 000 рублей",""))</f>
      </c>
      <c r="T34" s="201" t="s">
        <v>48</v>
      </c>
    </row>
    <row r="35" spans="2:20" ht="9" customHeight="1" thickBot="1">
      <c r="B35" s="170"/>
      <c r="C35" s="171"/>
      <c r="D35" s="432"/>
      <c r="E35" s="432"/>
      <c r="F35" s="171"/>
      <c r="G35" s="172"/>
      <c r="H35" s="172"/>
      <c r="I35" s="172"/>
      <c r="J35" s="172"/>
      <c r="K35" s="172"/>
      <c r="L35" s="172"/>
      <c r="M35" s="172"/>
      <c r="N35" s="439"/>
      <c r="O35" s="432"/>
      <c r="P35" s="173"/>
      <c r="R35" s="193" t="s">
        <v>121</v>
      </c>
      <c r="S35" s="192" t="str">
        <f>IF($M$17&lt;'Условия программ'!S81,"Сумма кредита (заявленная) должна быть не менее 100 000 рублей (эквивалент суммы в долларах США по курсу ЦБ РФ)",IF($M$21&gt;'Условия программ'!Y81,"Итоговая сумма кредита должна быть не более 1 500 000 рублей (эквивалент суммы в долларах США по курсу ЦБ РФ)",""))</f>
        <v>Итоговая сумма кредита должна быть не более 1 500 000 рублей (эквивалент суммы в долларах США по курсу ЦБ РФ)</v>
      </c>
      <c r="T35" s="201" t="s">
        <v>49</v>
      </c>
    </row>
    <row r="36" spans="18:20" ht="17.25" customHeight="1">
      <c r="R36" s="198" t="s">
        <v>36</v>
      </c>
      <c r="S36" s="192" t="str">
        <f>IF($M$17&lt;'Условия программ'!S82,"Сумма кредита (заявленная) должна быть не менее 100 000 рублей (эквивалент суммы в евро по курсу ЦБ РФ)",IF($M$21&gt;'Условия программ'!Y82,"Итоговая сумма кредита должна быть не более 1 500 000 рублей (эквивалент суммы в евро по курсу ЦБ РФ)",""))</f>
        <v>Итоговая сумма кредита должна быть не более 1 500 000 рублей (эквивалент суммы в евро по курсу ЦБ РФ)</v>
      </c>
      <c r="T36" s="202" t="s">
        <v>36</v>
      </c>
    </row>
    <row r="37" ht="18" customHeight="1"/>
    <row r="38" ht="18" customHeight="1">
      <c r="B38" s="203" t="s">
        <v>86</v>
      </c>
    </row>
    <row r="39" ht="18" customHeight="1"/>
  </sheetData>
  <sheetProtection password="CE1C" sheet="1" objects="1" scenarios="1"/>
  <mergeCells count="9">
    <mergeCell ref="D29:G29"/>
    <mergeCell ref="K29:N29"/>
    <mergeCell ref="K30:N33"/>
    <mergeCell ref="C4:M4"/>
    <mergeCell ref="D19:E19"/>
    <mergeCell ref="J14:O14"/>
    <mergeCell ref="K19:L19"/>
    <mergeCell ref="C14:H14"/>
    <mergeCell ref="D30:G33"/>
  </mergeCells>
  <printOptions/>
  <pageMargins left="0.91" right="0.78" top="0.51" bottom="0.62" header="0.3937007874015748" footer="0.46"/>
  <pageSetup horizontalDpi="600" verticalDpi="600" orientation="landscape" paperSize="9" scale="75" r:id="rId3"/>
  <colBreaks count="1" manualBreakCount="1">
    <brk id="17" max="65535" man="1"/>
  </colBreak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2">
    <tabColor indexed="16"/>
  </sheetPr>
  <dimension ref="B1:W39"/>
  <sheetViews>
    <sheetView showGridLines="0" zoomScale="71" zoomScaleNormal="71" workbookViewId="0" topLeftCell="A1">
      <pane xSplit="16" ySplit="35" topLeftCell="Q36" activePane="bottomRight" state="frozen"/>
      <selection pane="topLeft" activeCell="A1" sqref="A1"/>
      <selection pane="topRight" activeCell="Q1" sqref="Q1"/>
      <selection pane="bottomLeft" activeCell="A36" sqref="A36"/>
      <selection pane="bottomRight" activeCell="K30" sqref="K30:N33"/>
    </sheetView>
  </sheetViews>
  <sheetFormatPr defaultColWidth="9.00390625" defaultRowHeight="12.75"/>
  <cols>
    <col min="1" max="1" width="2.75390625" style="216" customWidth="1"/>
    <col min="2" max="3" width="2.625" style="216" customWidth="1"/>
    <col min="4" max="4" width="37.125" style="216" customWidth="1"/>
    <col min="5" max="5" width="9.75390625" style="216" customWidth="1"/>
    <col min="6" max="6" width="22.25390625" style="216" customWidth="1"/>
    <col min="7" max="7" width="5.25390625" style="216" customWidth="1"/>
    <col min="8" max="9" width="2.75390625" style="216" customWidth="1"/>
    <col min="10" max="10" width="2.625" style="216" customWidth="1"/>
    <col min="11" max="11" width="39.00390625" style="216" customWidth="1"/>
    <col min="12" max="12" width="9.625" style="216" customWidth="1"/>
    <col min="13" max="13" width="22.125" style="216" customWidth="1"/>
    <col min="14" max="14" width="5.125" style="216" customWidth="1"/>
    <col min="15" max="16" width="2.75390625" style="216" customWidth="1"/>
    <col min="17" max="17" width="2.625" style="217" customWidth="1"/>
    <col min="18" max="18" width="12.125" style="217" hidden="1" customWidth="1"/>
    <col min="19" max="23" width="12.125" style="216" hidden="1" customWidth="1"/>
    <col min="24" max="25" width="12.125" style="216" customWidth="1"/>
    <col min="26" max="27" width="10.25390625" style="216" customWidth="1"/>
    <col min="28" max="16384" width="9.125" style="216" customWidth="1"/>
  </cols>
  <sheetData>
    <row r="1" spans="18:22" ht="8.25" customHeight="1" thickBot="1">
      <c r="R1" s="218">
        <v>1</v>
      </c>
      <c r="S1" s="218">
        <v>2</v>
      </c>
      <c r="T1" s="403">
        <v>3</v>
      </c>
      <c r="U1" s="404">
        <v>4</v>
      </c>
      <c r="V1" s="405"/>
    </row>
    <row r="2" spans="2:22" ht="10.5" customHeight="1"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4"/>
      <c r="Q2" s="216"/>
      <c r="R2" s="219" t="s">
        <v>41</v>
      </c>
      <c r="S2" s="219" t="s">
        <v>8</v>
      </c>
      <c r="T2" s="403">
        <v>1</v>
      </c>
      <c r="U2" s="404" t="s">
        <v>54</v>
      </c>
      <c r="V2" s="405"/>
    </row>
    <row r="3" spans="2:22" ht="18" customHeight="1">
      <c r="B3" s="155"/>
      <c r="C3" s="141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141"/>
      <c r="P3" s="157"/>
      <c r="Q3" s="216"/>
      <c r="R3" s="219" t="s">
        <v>42</v>
      </c>
      <c r="S3" s="219" t="s">
        <v>37</v>
      </c>
      <c r="T3" s="403">
        <v>2</v>
      </c>
      <c r="U3" s="403" t="s">
        <v>55</v>
      </c>
      <c r="V3" s="406"/>
    </row>
    <row r="4" spans="2:22" ht="18" customHeight="1" thickBot="1">
      <c r="B4" s="155"/>
      <c r="C4" s="171"/>
      <c r="D4" s="801" t="s">
        <v>91</v>
      </c>
      <c r="E4" s="801"/>
      <c r="F4" s="801"/>
      <c r="G4" s="801"/>
      <c r="H4" s="801"/>
      <c r="I4" s="801"/>
      <c r="J4" s="801"/>
      <c r="K4" s="801"/>
      <c r="L4" s="801"/>
      <c r="M4" s="801"/>
      <c r="N4" s="366"/>
      <c r="O4" s="141"/>
      <c r="P4" s="157"/>
      <c r="Q4" s="216"/>
      <c r="R4" s="216"/>
      <c r="S4" s="219" t="s">
        <v>58</v>
      </c>
      <c r="T4" s="403">
        <v>3</v>
      </c>
      <c r="U4" s="407"/>
      <c r="V4" s="407"/>
    </row>
    <row r="5" spans="2:22" ht="18" customHeight="1" thickBot="1">
      <c r="B5" s="155"/>
      <c r="C5" s="857" t="s">
        <v>57</v>
      </c>
      <c r="D5" s="858"/>
      <c r="E5" s="858"/>
      <c r="F5" s="858"/>
      <c r="G5" s="858"/>
      <c r="H5" s="858"/>
      <c r="I5" s="858"/>
      <c r="J5" s="858"/>
      <c r="K5" s="858"/>
      <c r="L5" s="858"/>
      <c r="M5" s="858"/>
      <c r="N5" s="858"/>
      <c r="O5" s="859"/>
      <c r="P5" s="340"/>
      <c r="Q5" s="216"/>
      <c r="R5" s="216"/>
      <c r="T5" s="403">
        <v>4</v>
      </c>
      <c r="U5" s="407"/>
      <c r="V5" s="407"/>
    </row>
    <row r="6" spans="2:22" ht="18" customHeight="1" thickBot="1">
      <c r="B6" s="340"/>
      <c r="C6" s="141"/>
      <c r="D6" s="143"/>
      <c r="E6" s="143"/>
      <c r="F6" s="143"/>
      <c r="G6" s="143"/>
      <c r="H6" s="148"/>
      <c r="I6" s="148"/>
      <c r="J6" s="148"/>
      <c r="K6" s="139" t="s">
        <v>85</v>
      </c>
      <c r="L6" s="148"/>
      <c r="M6" s="183">
        <v>36</v>
      </c>
      <c r="N6" s="182" t="s">
        <v>81</v>
      </c>
      <c r="O6" s="141"/>
      <c r="P6" s="340"/>
      <c r="Q6" s="216"/>
      <c r="R6" s="216"/>
      <c r="T6" s="403">
        <v>5</v>
      </c>
      <c r="U6" s="407"/>
      <c r="V6" s="407"/>
    </row>
    <row r="7" spans="2:21" ht="18" customHeight="1" thickBot="1">
      <c r="B7" s="155"/>
      <c r="C7" s="155"/>
      <c r="D7" s="144" t="s">
        <v>4</v>
      </c>
      <c r="E7" s="141"/>
      <c r="F7" s="150">
        <v>1</v>
      </c>
      <c r="G7" s="141"/>
      <c r="H7" s="141"/>
      <c r="I7" s="148"/>
      <c r="J7" s="148"/>
      <c r="K7" s="144" t="s">
        <v>20</v>
      </c>
      <c r="L7" s="144"/>
      <c r="M7" s="148"/>
      <c r="N7" s="148"/>
      <c r="O7" s="141"/>
      <c r="P7" s="340"/>
      <c r="Q7" s="216"/>
      <c r="R7" s="408" t="s">
        <v>53</v>
      </c>
      <c r="S7" s="409"/>
      <c r="T7" s="407"/>
      <c r="U7" s="407"/>
    </row>
    <row r="8" spans="2:21" ht="18" customHeight="1" thickBot="1">
      <c r="B8" s="340"/>
      <c r="C8" s="141"/>
      <c r="D8" s="143"/>
      <c r="E8" s="158"/>
      <c r="F8" s="158"/>
      <c r="G8" s="141"/>
      <c r="H8" s="141"/>
      <c r="I8" s="141"/>
      <c r="J8" s="141"/>
      <c r="K8" s="165" t="s">
        <v>17</v>
      </c>
      <c r="L8" s="174">
        <f>IF(F7=1,IF(M6&lt;=36,'Условия программ'!D89,'Условия программ'!E89),'Условия программ'!J89)</f>
        <v>0.2</v>
      </c>
      <c r="M8" s="177">
        <f>F9*L8</f>
        <v>300000</v>
      </c>
      <c r="N8" s="179" t="str">
        <f>IF($F$11=1,"руб.",IF($F$11=2,"$","евро"))</f>
        <v>руб.</v>
      </c>
      <c r="O8" s="141"/>
      <c r="P8" s="340"/>
      <c r="Q8" s="216"/>
      <c r="R8" s="405"/>
      <c r="S8" s="410"/>
      <c r="T8" s="407"/>
      <c r="U8" s="407"/>
    </row>
    <row r="9" spans="2:21" ht="18" customHeight="1" thickBot="1">
      <c r="B9" s="340"/>
      <c r="C9" s="141"/>
      <c r="D9" s="144" t="s">
        <v>11</v>
      </c>
      <c r="E9" s="141"/>
      <c r="F9" s="185">
        <v>1500000</v>
      </c>
      <c r="G9" s="179" t="str">
        <f>IF($F$11=1,"руб.",IF($F$11=2,"$","евро"))</f>
        <v>руб.</v>
      </c>
      <c r="H9" s="141"/>
      <c r="I9" s="141"/>
      <c r="J9" s="141"/>
      <c r="K9" s="166" t="s">
        <v>18</v>
      </c>
      <c r="L9" s="178">
        <f>ROUND(M9/F9,4)</f>
        <v>0.6667</v>
      </c>
      <c r="M9" s="185">
        <v>1000000</v>
      </c>
      <c r="N9" s="179" t="str">
        <f>IF($F$11=1,"руб.",IF($F$11=2,"$","евро"))</f>
        <v>руб.</v>
      </c>
      <c r="O9" s="141"/>
      <c r="P9" s="340"/>
      <c r="Q9" s="216"/>
      <c r="R9" s="405"/>
      <c r="S9" s="410"/>
      <c r="T9" s="407"/>
      <c r="U9" s="407"/>
    </row>
    <row r="10" spans="2:23" ht="12" customHeight="1" thickBot="1">
      <c r="B10" s="155"/>
      <c r="C10" s="155"/>
      <c r="D10" s="144"/>
      <c r="E10" s="141"/>
      <c r="F10" s="156"/>
      <c r="G10" s="156"/>
      <c r="H10" s="141"/>
      <c r="I10" s="141"/>
      <c r="J10" s="141"/>
      <c r="K10" s="149"/>
      <c r="L10" s="167"/>
      <c r="M10" s="149"/>
      <c r="N10" s="149"/>
      <c r="O10" s="141"/>
      <c r="P10" s="340"/>
      <c r="Q10" s="216"/>
      <c r="R10" s="411"/>
      <c r="S10" s="410"/>
      <c r="T10" s="407"/>
      <c r="U10" s="407"/>
      <c r="W10" s="224"/>
    </row>
    <row r="11" spans="2:23" ht="18" customHeight="1" thickBot="1">
      <c r="B11" s="159"/>
      <c r="C11" s="159"/>
      <c r="D11" s="139" t="s">
        <v>5</v>
      </c>
      <c r="E11" s="148"/>
      <c r="F11" s="164">
        <v>1</v>
      </c>
      <c r="G11" s="141"/>
      <c r="H11" s="161"/>
      <c r="I11" s="141"/>
      <c r="J11" s="141"/>
      <c r="K11" s="339" t="s">
        <v>70</v>
      </c>
      <c r="L11" s="168"/>
      <c r="M11" s="248" t="s">
        <v>40</v>
      </c>
      <c r="N11" s="149"/>
      <c r="O11" s="141"/>
      <c r="P11" s="340"/>
      <c r="Q11" s="216"/>
      <c r="R11" s="405"/>
      <c r="S11" s="412"/>
      <c r="T11" s="407">
        <v>100</v>
      </c>
      <c r="U11" s="407"/>
      <c r="V11" s="225"/>
      <c r="W11" s="221"/>
    </row>
    <row r="12" spans="2:21" ht="9" customHeight="1" thickBot="1">
      <c r="B12" s="159"/>
      <c r="C12" s="342"/>
      <c r="D12" s="143"/>
      <c r="E12" s="143"/>
      <c r="F12" s="171"/>
      <c r="G12" s="171"/>
      <c r="H12" s="143"/>
      <c r="I12" s="161"/>
      <c r="J12" s="161"/>
      <c r="K12" s="204"/>
      <c r="L12" s="204"/>
      <c r="M12" s="367"/>
      <c r="N12" s="142"/>
      <c r="O12" s="171"/>
      <c r="P12" s="340"/>
      <c r="Q12" s="216"/>
      <c r="R12" s="413"/>
      <c r="S12" s="414"/>
      <c r="T12" s="407"/>
      <c r="U12" s="407"/>
    </row>
    <row r="13" spans="2:21" ht="9" customHeight="1" thickBot="1">
      <c r="B13" s="159"/>
      <c r="C13" s="336"/>
      <c r="D13" s="153"/>
      <c r="E13" s="153"/>
      <c r="F13" s="143"/>
      <c r="G13" s="143"/>
      <c r="H13" s="153"/>
      <c r="I13" s="153"/>
      <c r="J13" s="153"/>
      <c r="K13" s="365"/>
      <c r="L13" s="365"/>
      <c r="M13" s="368"/>
      <c r="N13" s="346"/>
      <c r="O13" s="141"/>
      <c r="P13" s="157"/>
      <c r="Q13" s="216"/>
      <c r="R13" s="408" t="s">
        <v>69</v>
      </c>
      <c r="S13" s="415"/>
      <c r="T13" s="409"/>
      <c r="U13" s="407"/>
    </row>
    <row r="14" spans="2:21" ht="25.5" customHeight="1" thickBot="1">
      <c r="B14" s="159"/>
      <c r="C14" s="853" t="s">
        <v>113</v>
      </c>
      <c r="D14" s="854"/>
      <c r="E14" s="854"/>
      <c r="F14" s="854"/>
      <c r="G14" s="854"/>
      <c r="H14" s="854"/>
      <c r="I14" s="215"/>
      <c r="J14" s="853" t="s">
        <v>114</v>
      </c>
      <c r="K14" s="854"/>
      <c r="L14" s="854"/>
      <c r="M14" s="854"/>
      <c r="N14" s="854"/>
      <c r="O14" s="855"/>
      <c r="P14" s="231"/>
      <c r="Q14" s="216"/>
      <c r="R14" s="405" t="s">
        <v>47</v>
      </c>
      <c r="S14" s="416" t="e">
        <f>F17*'Условия программ'!#REF!</f>
        <v>#REF!</v>
      </c>
      <c r="T14" s="417"/>
      <c r="U14" s="407"/>
    </row>
    <row r="15" spans="2:21" ht="18" customHeight="1" thickBot="1">
      <c r="B15" s="159"/>
      <c r="C15" s="372"/>
      <c r="D15" s="331" t="s">
        <v>110</v>
      </c>
      <c r="E15" s="108"/>
      <c r="F15" s="187">
        <f>IF(F7=1,IF(F11=1,IF(M6&lt;=36,'Условия программ'!D90,'Условия программ'!E91),IF(M6&lt;=36,'Условия программ'!D97,'Условия программ'!E98)),IF(F11=1,'Условия программ'!J90,'Условия программ'!J97))</f>
        <v>0.185</v>
      </c>
      <c r="G15" s="90"/>
      <c r="H15" s="373"/>
      <c r="I15" s="376"/>
      <c r="J15" s="292"/>
      <c r="K15" s="331" t="s">
        <v>110</v>
      </c>
      <c r="L15" s="108"/>
      <c r="M15" s="186">
        <f>IF(F11=1,IF(M6&lt;=36,'Условия программ'!Q90,'Условия программ'!Q91),IF(M6&lt;=36,'Условия программ'!Q76,'Условия программ'!Q77))</f>
        <v>0.165</v>
      </c>
      <c r="N15" s="90"/>
      <c r="O15" s="90"/>
      <c r="P15" s="231"/>
      <c r="Q15" s="216"/>
      <c r="R15" s="405" t="s">
        <v>45</v>
      </c>
      <c r="S15" s="416" t="e">
        <f>IF(S14&lt;='Условия программ'!#REF!,'Условия программ'!#REF!,S14)</f>
        <v>#REF!</v>
      </c>
      <c r="T15" s="417" t="s">
        <v>60</v>
      </c>
      <c r="U15" s="407"/>
    </row>
    <row r="16" spans="2:21" ht="9" customHeight="1" thickBot="1">
      <c r="B16" s="159"/>
      <c r="C16" s="372"/>
      <c r="D16" s="90"/>
      <c r="E16" s="90"/>
      <c r="F16" s="370"/>
      <c r="G16" s="90"/>
      <c r="H16" s="90"/>
      <c r="I16" s="215"/>
      <c r="J16" s="372"/>
      <c r="K16" s="90"/>
      <c r="L16" s="90"/>
      <c r="M16" s="309"/>
      <c r="N16" s="90"/>
      <c r="O16" s="90"/>
      <c r="P16" s="231"/>
      <c r="Q16" s="216"/>
      <c r="R16" s="405" t="s">
        <v>45</v>
      </c>
      <c r="S16" s="416" t="e">
        <f>IF(S14&lt;='Условия программ'!#REF!,'Условия программ'!#REF!,S14)</f>
        <v>#REF!</v>
      </c>
      <c r="T16" s="417" t="s">
        <v>49</v>
      </c>
      <c r="U16" s="407"/>
    </row>
    <row r="17" spans="2:21" ht="18" customHeight="1" thickBot="1">
      <c r="B17" s="159"/>
      <c r="C17" s="372"/>
      <c r="D17" s="491" t="s">
        <v>43</v>
      </c>
      <c r="E17" s="371"/>
      <c r="F17" s="323">
        <f>F9-M9</f>
        <v>500000</v>
      </c>
      <c r="G17" s="354" t="str">
        <f>IF($F$11=1,"руб.",IF($F$11=2,"$","евро"))</f>
        <v>руб.</v>
      </c>
      <c r="H17" s="90"/>
      <c r="I17" s="215"/>
      <c r="J17" s="372"/>
      <c r="K17" s="304" t="s">
        <v>131</v>
      </c>
      <c r="L17" s="90"/>
      <c r="M17" s="311">
        <f>F9-M9</f>
        <v>500000</v>
      </c>
      <c r="N17" s="151" t="str">
        <f>IF($F$11=1,"руб.",IF($F$11=2,"$","евро"))</f>
        <v>руб.</v>
      </c>
      <c r="O17" s="90"/>
      <c r="P17" s="231"/>
      <c r="Q17" s="216"/>
      <c r="R17" s="413" t="s">
        <v>45</v>
      </c>
      <c r="S17" s="418" t="e">
        <f>IF(S14&lt;='Условия программ'!#REF!,'Условия программ'!#REF!,S14)</f>
        <v>#REF!</v>
      </c>
      <c r="T17" s="419" t="s">
        <v>36</v>
      </c>
      <c r="U17" s="407"/>
    </row>
    <row r="18" spans="2:21" ht="9" customHeight="1" thickBot="1">
      <c r="B18" s="159"/>
      <c r="C18" s="372"/>
      <c r="D18" s="305"/>
      <c r="E18" s="100"/>
      <c r="F18" s="312"/>
      <c r="G18" s="90"/>
      <c r="H18" s="90"/>
      <c r="I18" s="215"/>
      <c r="J18" s="372"/>
      <c r="K18" s="305"/>
      <c r="L18" s="100"/>
      <c r="M18" s="312"/>
      <c r="N18" s="90"/>
      <c r="O18" s="90"/>
      <c r="P18" s="231"/>
      <c r="Q18" s="216"/>
      <c r="R18" s="408" t="s">
        <v>61</v>
      </c>
      <c r="S18" s="409"/>
      <c r="T18" s="407"/>
      <c r="U18" s="407"/>
    </row>
    <row r="19" spans="2:21" ht="18" customHeight="1" thickBot="1">
      <c r="B19" s="159"/>
      <c r="C19" s="372"/>
      <c r="D19" s="784" t="s">
        <v>103</v>
      </c>
      <c r="E19" s="784"/>
      <c r="F19" s="329" t="s">
        <v>29</v>
      </c>
      <c r="G19" s="151" t="str">
        <f>IF($F$11=1,"руб.",IF($F$11=2,"$","евро"))</f>
        <v>руб.</v>
      </c>
      <c r="H19" s="90"/>
      <c r="I19" s="215"/>
      <c r="J19" s="372"/>
      <c r="K19" s="784" t="s">
        <v>103</v>
      </c>
      <c r="L19" s="784"/>
      <c r="M19" s="311">
        <f>M21-M17</f>
        <v>30222.69353128306</v>
      </c>
      <c r="N19" s="151" t="str">
        <f>IF($F$11=1,"руб.",IF($F$11=2,"$","евро"))</f>
        <v>руб.</v>
      </c>
      <c r="O19" s="90"/>
      <c r="P19" s="231"/>
      <c r="Q19" s="216"/>
      <c r="R19" s="405"/>
      <c r="S19" s="417"/>
      <c r="T19" s="407">
        <v>10</v>
      </c>
      <c r="U19" s="407"/>
    </row>
    <row r="20" spans="2:21" ht="9" customHeight="1" thickBot="1">
      <c r="B20" s="159"/>
      <c r="C20" s="372"/>
      <c r="D20" s="306"/>
      <c r="E20" s="306"/>
      <c r="F20" s="314"/>
      <c r="G20" s="99"/>
      <c r="H20" s="90"/>
      <c r="I20" s="215"/>
      <c r="J20" s="372"/>
      <c r="K20" s="306"/>
      <c r="L20" s="306"/>
      <c r="M20" s="314"/>
      <c r="N20" s="99"/>
      <c r="O20" s="90"/>
      <c r="P20" s="231"/>
      <c r="Q20" s="216"/>
      <c r="R20" s="413"/>
      <c r="S20" s="419"/>
      <c r="T20" s="407"/>
      <c r="U20" s="407"/>
    </row>
    <row r="21" spans="2:18" ht="18" customHeight="1" thickBot="1">
      <c r="B21" s="375"/>
      <c r="C21" s="292"/>
      <c r="D21" s="304" t="s">
        <v>104</v>
      </c>
      <c r="E21" s="88"/>
      <c r="F21" s="311">
        <f>F17</f>
        <v>500000</v>
      </c>
      <c r="G21" s="151" t="str">
        <f>IF($F$11=1,"руб.",IF($F$11=2,"$","евро"))</f>
        <v>руб.</v>
      </c>
      <c r="H21" s="90"/>
      <c r="I21" s="377"/>
      <c r="J21" s="372"/>
      <c r="K21" s="491" t="s">
        <v>104</v>
      </c>
      <c r="L21" s="88"/>
      <c r="M21" s="311">
        <f>M17/(1-'Условия программ'!S108*M6/12)</f>
        <v>530222.6935312831</v>
      </c>
      <c r="N21" s="151" t="str">
        <f>IF($F$11=1,"руб.",IF($F$11=2,"$","евро"))</f>
        <v>руб.</v>
      </c>
      <c r="O21" s="90"/>
      <c r="P21" s="231"/>
      <c r="Q21" s="216"/>
      <c r="R21" s="380" t="s">
        <v>119</v>
      </c>
    </row>
    <row r="22" spans="2:20" ht="9" customHeight="1" thickBot="1">
      <c r="B22" s="159"/>
      <c r="C22" s="372"/>
      <c r="D22" s="99"/>
      <c r="E22" s="99"/>
      <c r="F22" s="315"/>
      <c r="G22" s="99"/>
      <c r="H22" s="374"/>
      <c r="I22" s="148"/>
      <c r="J22" s="372"/>
      <c r="K22" s="99"/>
      <c r="L22" s="99"/>
      <c r="M22" s="315"/>
      <c r="N22" s="99"/>
      <c r="O22" s="140"/>
      <c r="P22" s="231"/>
      <c r="Q22" s="216"/>
      <c r="R22" s="222" t="s">
        <v>62</v>
      </c>
      <c r="S22" s="227"/>
      <c r="T22" s="223"/>
    </row>
    <row r="23" spans="2:20" ht="18" customHeight="1" thickBot="1">
      <c r="B23" s="375"/>
      <c r="C23" s="292"/>
      <c r="D23" s="304" t="s">
        <v>106</v>
      </c>
      <c r="E23" s="316"/>
      <c r="F23" s="369" t="s">
        <v>93</v>
      </c>
      <c r="G23" s="143"/>
      <c r="H23" s="140"/>
      <c r="I23" s="378"/>
      <c r="J23" s="372"/>
      <c r="K23" s="304" t="s">
        <v>106</v>
      </c>
      <c r="L23" s="316"/>
      <c r="M23" s="369" t="s">
        <v>93</v>
      </c>
      <c r="N23" s="143"/>
      <c r="O23" s="140"/>
      <c r="P23" s="231"/>
      <c r="Q23" s="216"/>
      <c r="R23" s="219">
        <f>IF($F$7=1,IF($M$6&lt;12,"Необходимо увеличить срок кредита. Минимальный срок кредитования - 12 месяцев",IF($M$6&gt;60,"Необходимо уменьшить срок кредита. Максимальный срок кредитования - 60 месяцев",IF($L$9&lt;$L$8,"Необходимо увеличить размер первоначального взноса до необходимого минимума - 20% от стоимости транспортного средства",IF($L$9&gt;70%,"Необходимо уменьшить размер первоначального взноса. Максимальный размер - 70% от стоимости транспортного средства",$R$25)))),IF($M$6&gt;12,IF($M$6&lt;36,IF($L$9&lt;$L$8,"Необходимо увеличить размер первоначального взноса до необходимого минимума",IF($L$9&gt;70%,"Необходимо уменьшить размер первоначального взноса. Максимальный размер - 70% от стоимости транспортного средства",$R$25)),$R$24),$R$24))</f>
      </c>
      <c r="S23" s="221"/>
      <c r="T23" s="228"/>
    </row>
    <row r="24" spans="2:20" ht="9" customHeight="1" thickBot="1">
      <c r="B24" s="159"/>
      <c r="C24" s="372"/>
      <c r="D24" s="143"/>
      <c r="E24" s="99"/>
      <c r="F24" s="332"/>
      <c r="G24" s="139"/>
      <c r="H24" s="141"/>
      <c r="I24" s="379"/>
      <c r="J24" s="372"/>
      <c r="K24" s="143"/>
      <c r="L24" s="99"/>
      <c r="M24" s="143"/>
      <c r="N24" s="139"/>
      <c r="O24" s="214"/>
      <c r="P24" s="157"/>
      <c r="Q24" s="216"/>
      <c r="R24" s="219">
        <f>IF($M$6&lt;37,IF($M$6&lt;12,"Необходимо увеличить срок кредита. Минимальный срок кредитования - 12 месяцев",IF($L$9&lt;$L$8,"Необходимо увеличить размер первоначального взноса до необходимого минимума - 30% от стоимости транспортного средства",IF($L$9&gt;70%,"Необходимо уменьшить размер первоначального взноса. Максимальный размер - 70% от стоимости транспортного средства",$R$25))),"Необходимо уменьшить срок кредита. Максимальный срок кредитования подержанных транспортных средств - 36 месяцев")</f>
      </c>
      <c r="S24" s="221"/>
      <c r="T24" s="228"/>
    </row>
    <row r="25" spans="2:20" ht="18" customHeight="1" thickBot="1">
      <c r="B25" s="159"/>
      <c r="C25" s="372"/>
      <c r="D25" s="308" t="s">
        <v>105</v>
      </c>
      <c r="E25" s="99"/>
      <c r="F25" s="335">
        <f>(F17*(F15/12))/(1-(1+F15/12)^(-M6))</f>
        <v>18201.85715405971</v>
      </c>
      <c r="G25" s="151" t="str">
        <f>IF($F$11=1,"руб.",IF($F$11=2,"$","евро"))</f>
        <v>руб.</v>
      </c>
      <c r="H25" s="141"/>
      <c r="I25" s="379"/>
      <c r="J25" s="372"/>
      <c r="K25" s="308" t="s">
        <v>105</v>
      </c>
      <c r="L25" s="99"/>
      <c r="M25" s="335">
        <f>(M21*(M15/12))/(1-(1+M15/12)^(-M6))</f>
        <v>18772.207078485153</v>
      </c>
      <c r="N25" s="151" t="str">
        <f>IF($F$11=1,"руб.",IF($F$11=2,"$","евро"))</f>
        <v>руб.</v>
      </c>
      <c r="O25" s="141"/>
      <c r="P25" s="231"/>
      <c r="Q25" s="216"/>
      <c r="R25" s="219">
        <f>IF($F$11=1,S26,IF($F$11=2,S27,S28))</f>
      </c>
      <c r="S25" s="221"/>
      <c r="T25" s="228"/>
    </row>
    <row r="26" spans="2:20" ht="9" customHeight="1" thickBot="1">
      <c r="B26" s="375"/>
      <c r="C26" s="292"/>
      <c r="D26" s="99"/>
      <c r="E26" s="99"/>
      <c r="F26" s="314"/>
      <c r="G26" s="99"/>
      <c r="H26" s="141"/>
      <c r="I26" s="215"/>
      <c r="J26" s="372"/>
      <c r="K26" s="99"/>
      <c r="L26" s="99"/>
      <c r="M26" s="305"/>
      <c r="N26" s="99"/>
      <c r="O26" s="141"/>
      <c r="P26" s="231"/>
      <c r="R26" s="220" t="s">
        <v>63</v>
      </c>
      <c r="S26" s="219">
        <f>IF(F17&lt;'Условия программ'!L101,"Сумма кредита должна быть не менее 30 000 рублей","")</f>
      </c>
      <c r="T26" s="228" t="s">
        <v>48</v>
      </c>
    </row>
    <row r="27" spans="2:20" ht="18" customHeight="1" thickBot="1">
      <c r="B27" s="159"/>
      <c r="C27" s="372"/>
      <c r="D27" s="304" t="s">
        <v>107</v>
      </c>
      <c r="E27" s="99"/>
      <c r="F27" s="353">
        <f>F25*M6-F17</f>
        <v>155266.85754614964</v>
      </c>
      <c r="G27" s="354" t="str">
        <f>IF($F$11=1,"руб.",IF($F$11=2,"$","евро"))</f>
        <v>руб.</v>
      </c>
      <c r="H27" s="214"/>
      <c r="I27" s="376"/>
      <c r="J27" s="292"/>
      <c r="K27" s="304" t="s">
        <v>107</v>
      </c>
      <c r="L27" s="99"/>
      <c r="M27" s="353">
        <f>M25*M6-M21</f>
        <v>145576.7612941825</v>
      </c>
      <c r="N27" s="354" t="str">
        <f>IF($F$11=1,"руб.",IF($F$11=2,"$","евро"))</f>
        <v>руб.</v>
      </c>
      <c r="O27" s="141"/>
      <c r="P27" s="231"/>
      <c r="R27" s="220" t="s">
        <v>63</v>
      </c>
      <c r="S27" s="219">
        <f>IF(F17&lt;'Условия программ'!L102,"Сумма кредита должна быть не менее 1 000 долларов США","")</f>
      </c>
      <c r="T27" s="228" t="s">
        <v>49</v>
      </c>
    </row>
    <row r="28" spans="2:20" ht="9" customHeight="1">
      <c r="B28" s="159"/>
      <c r="C28" s="372"/>
      <c r="D28" s="304"/>
      <c r="E28" s="99"/>
      <c r="F28" s="352"/>
      <c r="G28" s="307"/>
      <c r="H28" s="421"/>
      <c r="I28" s="141"/>
      <c r="J28" s="372"/>
      <c r="K28" s="304"/>
      <c r="L28" s="99"/>
      <c r="M28" s="352"/>
      <c r="N28" s="307"/>
      <c r="O28" s="290"/>
      <c r="P28" s="231"/>
      <c r="R28" s="226" t="s">
        <v>63</v>
      </c>
      <c r="S28" s="219">
        <f>IF(F17&lt;'Условия программ'!L103,"Сумма кредита должна быть не менее 800 евро","")</f>
      </c>
      <c r="T28" s="229" t="s">
        <v>36</v>
      </c>
    </row>
    <row r="29" spans="2:20" s="512" customFormat="1" ht="14.25" customHeight="1" thickBot="1">
      <c r="B29" s="502"/>
      <c r="C29" s="503"/>
      <c r="D29" s="860" t="s">
        <v>44</v>
      </c>
      <c r="E29" s="860"/>
      <c r="F29" s="860"/>
      <c r="G29" s="860"/>
      <c r="H29" s="504"/>
      <c r="I29" s="505"/>
      <c r="J29" s="506"/>
      <c r="K29" s="786" t="s">
        <v>44</v>
      </c>
      <c r="L29" s="786"/>
      <c r="M29" s="786"/>
      <c r="N29" s="786"/>
      <c r="O29" s="507"/>
      <c r="P29" s="508"/>
      <c r="Q29" s="509"/>
      <c r="R29" s="510" t="s">
        <v>116</v>
      </c>
      <c r="S29" s="511"/>
      <c r="T29" s="511"/>
    </row>
    <row r="30" spans="2:20" ht="18" customHeight="1">
      <c r="B30" s="159"/>
      <c r="C30" s="426"/>
      <c r="D30" s="844">
        <f>R23</f>
      </c>
      <c r="E30" s="845"/>
      <c r="F30" s="845"/>
      <c r="G30" s="846"/>
      <c r="H30" s="420"/>
      <c r="I30" s="376"/>
      <c r="J30" s="324"/>
      <c r="K30" s="844">
        <f>R31</f>
      </c>
      <c r="L30" s="845"/>
      <c r="M30" s="845"/>
      <c r="N30" s="845"/>
      <c r="O30" s="397"/>
      <c r="P30" s="231"/>
      <c r="R30" s="222" t="s">
        <v>62</v>
      </c>
      <c r="S30" s="227"/>
      <c r="T30" s="223"/>
    </row>
    <row r="31" spans="2:20" ht="18" customHeight="1">
      <c r="B31" s="159"/>
      <c r="C31" s="425"/>
      <c r="D31" s="847"/>
      <c r="E31" s="848"/>
      <c r="F31" s="848"/>
      <c r="G31" s="849"/>
      <c r="H31" s="420"/>
      <c r="I31" s="376"/>
      <c r="J31" s="396"/>
      <c r="K31" s="847"/>
      <c r="L31" s="848"/>
      <c r="M31" s="848"/>
      <c r="N31" s="848"/>
      <c r="O31" s="397"/>
      <c r="P31" s="231"/>
      <c r="R31" s="219">
        <f>IF($F$7=1,IF($M$6&lt;12,"Необходимо увеличить срок кредита. Минимальный срок кредитования - 12 месяцев",IF($M$6&gt;60,"Необходимо уменьшить срок кредита. Максимальный срок кредитования - 60 месяцев",IF($L$9&lt;'Условия программ'!Q89,"Необходимо увеличить размер первоначального взноса до необходимого минимума - 40% от стоимости транспортного средства",IF($L$9&gt;70%,"Необходимо уменьшить размер первоначального взноса. Максимальный размер - 70% от стоимости транспортного средства",R33)))),"Кредитование со страхованием жизни и потери трудоспособности осуществляется только на новые транспортные средства")</f>
      </c>
      <c r="S31" s="221"/>
      <c r="T31" s="228"/>
    </row>
    <row r="32" spans="2:20" ht="18" customHeight="1">
      <c r="B32" s="375"/>
      <c r="C32" s="420"/>
      <c r="D32" s="847"/>
      <c r="E32" s="848"/>
      <c r="F32" s="848"/>
      <c r="G32" s="849"/>
      <c r="H32" s="420"/>
      <c r="I32" s="376"/>
      <c r="J32" s="324"/>
      <c r="K32" s="847"/>
      <c r="L32" s="848"/>
      <c r="M32" s="848"/>
      <c r="N32" s="848"/>
      <c r="O32" s="397"/>
      <c r="P32" s="231"/>
      <c r="R32" s="220"/>
      <c r="S32" s="221"/>
      <c r="T32" s="228"/>
    </row>
    <row r="33" spans="2:22" ht="18" customHeight="1" thickBot="1">
      <c r="B33" s="375"/>
      <c r="C33" s="420"/>
      <c r="D33" s="850"/>
      <c r="E33" s="851"/>
      <c r="F33" s="851"/>
      <c r="G33" s="852"/>
      <c r="H33" s="422"/>
      <c r="I33" s="399"/>
      <c r="J33" s="324"/>
      <c r="K33" s="850"/>
      <c r="L33" s="851"/>
      <c r="M33" s="851"/>
      <c r="N33" s="851"/>
      <c r="O33" s="397"/>
      <c r="P33" s="231"/>
      <c r="R33" s="219">
        <f>IF($F$11=1,S34,IF($F$11=2,S35,S36))</f>
      </c>
      <c r="S33" s="221"/>
      <c r="T33" s="228"/>
      <c r="V33" s="221"/>
    </row>
    <row r="34" spans="2:20" ht="9" customHeight="1" thickBot="1">
      <c r="B34" s="375"/>
      <c r="C34" s="291"/>
      <c r="D34" s="291"/>
      <c r="E34" s="424"/>
      <c r="F34" s="291"/>
      <c r="G34" s="424"/>
      <c r="H34" s="423"/>
      <c r="I34" s="399"/>
      <c r="J34" s="324"/>
      <c r="K34" s="394"/>
      <c r="L34" s="394"/>
      <c r="M34" s="394"/>
      <c r="N34" s="324"/>
      <c r="O34" s="324"/>
      <c r="P34" s="231"/>
      <c r="R34" s="220" t="s">
        <v>82</v>
      </c>
      <c r="S34" s="219">
        <f>IF($M$17&lt;'Условия программ'!S101,"Сумма кредита (заявленная) должна быть не менее 100 000 рублей",IF($M$21&gt;'Условия программ'!Y101,"Итоговая сумма кредита должна быть не более 1 500 000 рублей",""))</f>
      </c>
      <c r="T34" s="228" t="s">
        <v>48</v>
      </c>
    </row>
    <row r="35" spans="2:20" ht="9" customHeight="1" thickBot="1">
      <c r="B35" s="170"/>
      <c r="C35" s="395"/>
      <c r="D35" s="395"/>
      <c r="E35" s="171"/>
      <c r="F35" s="395"/>
      <c r="G35" s="172"/>
      <c r="H35" s="172"/>
      <c r="I35" s="172"/>
      <c r="J35" s="393"/>
      <c r="K35" s="172"/>
      <c r="L35" s="172"/>
      <c r="M35" s="172"/>
      <c r="N35" s="393"/>
      <c r="O35" s="395"/>
      <c r="P35" s="173"/>
      <c r="R35" s="220" t="s">
        <v>49</v>
      </c>
      <c r="S35" s="219" t="str">
        <f>IF($M$17&lt;'Условия программ'!S102,"Сумма кредита (заявленная) должна быть не менее 100 000 рублей (эквивалент суммы в долларах США по курсу ЦБ РФ)",IF($M$21&gt;'Условия программ'!Y102,"Итоговая сумма кредита должна быть не более 1 500 000 рублей (эквивалент суммы в долларах США по курсу ЦБ РФ)",""))</f>
        <v>Итоговая сумма кредита должна быть не более 1 500 000 рублей (эквивалент суммы в долларах США по курсу ЦБ РФ)</v>
      </c>
      <c r="T35" s="228" t="s">
        <v>49</v>
      </c>
    </row>
    <row r="36" spans="18:20" ht="18" customHeight="1">
      <c r="R36" s="226" t="s">
        <v>36</v>
      </c>
      <c r="S36" s="219" t="str">
        <f>IF($M$17&lt;'Условия программ'!S103,"Сумма кредита (заявленная) должна быть не менее 100 000 рублей (эквивалент суммы в евро по курсу ЦБ РФ)",IF($M$21&gt;'Условия программ'!Y103,"Итоговая сумма кредита должна быть не более 1 500 000 рублей (эквивалент суммы в евро по курсу ЦБ РФ)",""))</f>
        <v>Итоговая сумма кредита должна быть не более 1 500 000 рублей (эквивалент суммы в евро по курсу ЦБ РФ)</v>
      </c>
      <c r="T36" s="229" t="s">
        <v>36</v>
      </c>
    </row>
    <row r="37" spans="18:21" ht="18" customHeight="1">
      <c r="R37" s="221"/>
      <c r="S37" s="221"/>
      <c r="T37" s="221"/>
      <c r="U37" s="221"/>
    </row>
    <row r="38" spans="2:21" ht="18" customHeight="1">
      <c r="B38" s="230" t="s">
        <v>90</v>
      </c>
      <c r="R38" s="221"/>
      <c r="S38" s="221"/>
      <c r="T38" s="221"/>
      <c r="U38" s="221"/>
    </row>
    <row r="39" spans="18:21" ht="18" customHeight="1">
      <c r="R39" s="221"/>
      <c r="S39" s="221"/>
      <c r="T39" s="221"/>
      <c r="U39" s="221"/>
    </row>
  </sheetData>
  <sheetProtection password="CE1C" sheet="1" objects="1" scenarios="1"/>
  <mergeCells count="11">
    <mergeCell ref="K29:N29"/>
    <mergeCell ref="K30:N33"/>
    <mergeCell ref="D30:G33"/>
    <mergeCell ref="D29:G29"/>
    <mergeCell ref="D19:E19"/>
    <mergeCell ref="J14:O14"/>
    <mergeCell ref="K19:L19"/>
    <mergeCell ref="D3:N3"/>
    <mergeCell ref="D4:M4"/>
    <mergeCell ref="C5:O5"/>
    <mergeCell ref="C14:H14"/>
  </mergeCells>
  <printOptions/>
  <pageMargins left="0.89" right="0.73" top="0.49" bottom="0.66" header="0.3937007874015748" footer="0.5905511811023623"/>
  <pageSetup horizontalDpi="600" verticalDpi="600" orientation="landscape" paperSize="9" scale="75" r:id="rId3"/>
  <colBreaks count="1" manualBreakCount="1">
    <brk id="17" max="65535" man="1"/>
  </colBreaks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>
    <tabColor indexed="26"/>
  </sheetPr>
  <dimension ref="B1:AA127"/>
  <sheetViews>
    <sheetView showGridLines="0" workbookViewId="0" topLeftCell="I19">
      <selection activeCell="Q48" sqref="Q48"/>
    </sheetView>
  </sheetViews>
  <sheetFormatPr defaultColWidth="9.00390625" defaultRowHeight="12.75"/>
  <cols>
    <col min="1" max="1" width="2.00390625" style="36" customWidth="1"/>
    <col min="2" max="2" width="2.25390625" style="36" customWidth="1"/>
    <col min="3" max="3" width="10.125" style="36" customWidth="1"/>
    <col min="4" max="4" width="8.375" style="36" customWidth="1"/>
    <col min="5" max="5" width="9.75390625" style="36" customWidth="1"/>
    <col min="6" max="6" width="10.125" style="36" customWidth="1"/>
    <col min="7" max="7" width="8.375" style="36" customWidth="1"/>
    <col min="8" max="8" width="2.125" style="36" customWidth="1"/>
    <col min="9" max="9" width="9.125" style="36" customWidth="1"/>
    <col min="10" max="10" width="8.375" style="36" customWidth="1"/>
    <col min="11" max="11" width="9.75390625" style="36" customWidth="1"/>
    <col min="12" max="12" width="12.00390625" style="36" customWidth="1"/>
    <col min="13" max="13" width="1.875" style="36" customWidth="1"/>
    <col min="14" max="14" width="3.00390625" style="36" customWidth="1"/>
    <col min="15" max="15" width="2.125" style="36" customWidth="1"/>
    <col min="16" max="19" width="9.25390625" style="36" customWidth="1"/>
    <col min="20" max="20" width="7.125" style="36" customWidth="1"/>
    <col min="21" max="21" width="2.75390625" style="36" customWidth="1"/>
    <col min="22" max="22" width="9.125" style="36" customWidth="1"/>
    <col min="23" max="23" width="9.375" style="36" customWidth="1"/>
    <col min="24" max="24" width="10.75390625" style="36" customWidth="1"/>
    <col min="25" max="25" width="11.875" style="36" customWidth="1"/>
    <col min="26" max="26" width="2.125" style="36" customWidth="1"/>
    <col min="27" max="16384" width="9.125" style="36" customWidth="1"/>
  </cols>
  <sheetData>
    <row r="1" spans="16:26" ht="7.5" customHeight="1">
      <c r="P1" s="86"/>
      <c r="Q1" s="86"/>
      <c r="T1" s="86"/>
      <c r="V1" s="83"/>
      <c r="X1" s="86"/>
      <c r="Y1" s="86"/>
      <c r="Z1" s="86"/>
    </row>
    <row r="2" spans="2:27" ht="12.75">
      <c r="B2" s="240" t="s">
        <v>21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1"/>
      <c r="O2" s="253" t="s">
        <v>98</v>
      </c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5"/>
      <c r="AA2" s="26"/>
    </row>
    <row r="3" spans="2:27" ht="12.75">
      <c r="B3" s="52"/>
      <c r="C3" s="232" t="s">
        <v>33</v>
      </c>
      <c r="D3" s="233" t="s">
        <v>8</v>
      </c>
      <c r="E3" s="42"/>
      <c r="F3" s="42"/>
      <c r="G3" s="42"/>
      <c r="H3" s="42"/>
      <c r="I3" s="232" t="s">
        <v>34</v>
      </c>
      <c r="J3" s="42"/>
      <c r="K3" s="233" t="s">
        <v>8</v>
      </c>
      <c r="L3" s="42"/>
      <c r="M3" s="234"/>
      <c r="O3" s="256"/>
      <c r="P3" s="257" t="s">
        <v>33</v>
      </c>
      <c r="Q3" s="258" t="s">
        <v>8</v>
      </c>
      <c r="R3" s="259"/>
      <c r="S3" s="259"/>
      <c r="T3" s="259"/>
      <c r="U3" s="259"/>
      <c r="V3" s="257" t="s">
        <v>34</v>
      </c>
      <c r="W3" s="259"/>
      <c r="X3" s="258" t="s">
        <v>8</v>
      </c>
      <c r="Y3" s="259"/>
      <c r="Z3" s="260"/>
      <c r="AA3" s="26"/>
    </row>
    <row r="4" spans="2:27" ht="8.25" customHeight="1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234"/>
      <c r="O4" s="256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60"/>
      <c r="AA4" s="26"/>
    </row>
    <row r="5" spans="2:27" ht="12.75" customHeight="1">
      <c r="B5" s="52"/>
      <c r="C5" s="870" t="s">
        <v>64</v>
      </c>
      <c r="D5" s="37" t="s">
        <v>50</v>
      </c>
      <c r="E5" s="72">
        <v>0.15</v>
      </c>
      <c r="F5" s="37" t="s">
        <v>50</v>
      </c>
      <c r="G5" s="72">
        <v>0.3</v>
      </c>
      <c r="H5" s="42"/>
      <c r="I5" s="867" t="s">
        <v>65</v>
      </c>
      <c r="J5" s="84" t="s">
        <v>50</v>
      </c>
      <c r="K5" s="42"/>
      <c r="L5" s="42"/>
      <c r="M5" s="234"/>
      <c r="O5" s="256"/>
      <c r="P5" s="864" t="s">
        <v>64</v>
      </c>
      <c r="Q5" s="261" t="s">
        <v>50</v>
      </c>
      <c r="R5" s="72">
        <v>0.25</v>
      </c>
      <c r="S5" s="261" t="s">
        <v>50</v>
      </c>
      <c r="T5" s="72">
        <v>0.3</v>
      </c>
      <c r="U5" s="259"/>
      <c r="V5" s="861" t="s">
        <v>65</v>
      </c>
      <c r="W5" s="262" t="s">
        <v>50</v>
      </c>
      <c r="X5" s="259"/>
      <c r="Y5" s="259"/>
      <c r="Z5" s="260"/>
      <c r="AA5" s="26"/>
    </row>
    <row r="6" spans="2:27" ht="12.75">
      <c r="B6" s="52"/>
      <c r="C6" s="871"/>
      <c r="D6" s="40" t="s">
        <v>28</v>
      </c>
      <c r="E6" s="40" t="s">
        <v>29</v>
      </c>
      <c r="F6" s="40" t="s">
        <v>28</v>
      </c>
      <c r="G6" s="40" t="s">
        <v>29</v>
      </c>
      <c r="H6" s="42"/>
      <c r="I6" s="869"/>
      <c r="J6" s="655">
        <v>0.3</v>
      </c>
      <c r="K6" s="42"/>
      <c r="L6" s="42"/>
      <c r="M6" s="234"/>
      <c r="O6" s="256"/>
      <c r="P6" s="866"/>
      <c r="Q6" s="263" t="s">
        <v>28</v>
      </c>
      <c r="R6" s="263" t="s">
        <v>29</v>
      </c>
      <c r="S6" s="263" t="s">
        <v>28</v>
      </c>
      <c r="T6" s="263" t="s">
        <v>29</v>
      </c>
      <c r="U6" s="259"/>
      <c r="V6" s="863"/>
      <c r="W6" s="655">
        <v>0.3</v>
      </c>
      <c r="X6" s="259"/>
      <c r="Y6" s="259"/>
      <c r="Z6" s="260"/>
      <c r="AA6" s="26"/>
    </row>
    <row r="7" spans="2:27" ht="12.75">
      <c r="B7" s="52"/>
      <c r="C7" s="43" t="s">
        <v>26</v>
      </c>
      <c r="D7" s="73">
        <v>0.145</v>
      </c>
      <c r="E7" s="73">
        <v>0.155</v>
      </c>
      <c r="F7" s="73">
        <v>0.139</v>
      </c>
      <c r="G7" s="73">
        <v>0.149</v>
      </c>
      <c r="H7" s="42"/>
      <c r="I7" s="45" t="s">
        <v>31</v>
      </c>
      <c r="J7" s="73">
        <v>0.165</v>
      </c>
      <c r="K7" s="54"/>
      <c r="L7" s="42"/>
      <c r="M7" s="234"/>
      <c r="O7" s="256"/>
      <c r="P7" s="265" t="s">
        <v>26</v>
      </c>
      <c r="Q7" s="73">
        <v>0.125</v>
      </c>
      <c r="R7" s="73">
        <v>0.135</v>
      </c>
      <c r="S7" s="73">
        <v>0.119</v>
      </c>
      <c r="T7" s="73">
        <v>0.129</v>
      </c>
      <c r="U7" s="259"/>
      <c r="V7" s="266" t="s">
        <v>31</v>
      </c>
      <c r="W7" s="73">
        <v>0.145</v>
      </c>
      <c r="X7" s="267"/>
      <c r="Y7" s="259"/>
      <c r="Z7" s="260"/>
      <c r="AA7" s="26"/>
    </row>
    <row r="8" spans="2:27" ht="12.75">
      <c r="B8" s="52"/>
      <c r="C8" s="43" t="s">
        <v>27</v>
      </c>
      <c r="D8" s="44" t="s">
        <v>29</v>
      </c>
      <c r="E8" s="44" t="s">
        <v>29</v>
      </c>
      <c r="F8" s="44">
        <f>F7</f>
        <v>0.139</v>
      </c>
      <c r="G8" s="44">
        <f>G7</f>
        <v>0.149</v>
      </c>
      <c r="H8" s="42"/>
      <c r="I8" s="42"/>
      <c r="J8" s="42"/>
      <c r="K8" s="42"/>
      <c r="L8" s="42"/>
      <c r="M8" s="234"/>
      <c r="O8" s="256"/>
      <c r="P8" s="265" t="s">
        <v>27</v>
      </c>
      <c r="Q8" s="268" t="s">
        <v>29</v>
      </c>
      <c r="R8" s="268" t="s">
        <v>29</v>
      </c>
      <c r="S8" s="268">
        <f>S7</f>
        <v>0.119</v>
      </c>
      <c r="T8" s="268" t="s">
        <v>29</v>
      </c>
      <c r="U8" s="259"/>
      <c r="V8" s="259"/>
      <c r="W8" s="259"/>
      <c r="X8" s="259"/>
      <c r="Y8" s="259"/>
      <c r="Z8" s="260"/>
      <c r="AA8" s="26"/>
    </row>
    <row r="9" spans="2:27" ht="12.75">
      <c r="B9" s="52"/>
      <c r="C9" s="56"/>
      <c r="D9" s="42"/>
      <c r="E9" s="42"/>
      <c r="F9" s="42"/>
      <c r="G9" s="42"/>
      <c r="H9" s="42"/>
      <c r="I9" s="42"/>
      <c r="J9" s="42"/>
      <c r="K9" s="42"/>
      <c r="L9" s="42"/>
      <c r="M9" s="234"/>
      <c r="O9" s="256"/>
      <c r="P9" s="269"/>
      <c r="Q9" s="259"/>
      <c r="R9" s="259"/>
      <c r="S9" s="259"/>
      <c r="T9" s="259"/>
      <c r="U9" s="259"/>
      <c r="V9" s="259"/>
      <c r="W9" s="259"/>
      <c r="X9" s="259"/>
      <c r="Y9" s="259"/>
      <c r="Z9" s="260"/>
      <c r="AA9" s="26"/>
    </row>
    <row r="10" spans="2:27" ht="12.75">
      <c r="B10" s="52"/>
      <c r="C10" s="232" t="s">
        <v>33</v>
      </c>
      <c r="D10" s="233" t="s">
        <v>32</v>
      </c>
      <c r="E10" s="42"/>
      <c r="F10" s="42"/>
      <c r="G10" s="42"/>
      <c r="H10" s="42"/>
      <c r="I10" s="232" t="s">
        <v>34</v>
      </c>
      <c r="J10" s="232"/>
      <c r="K10" s="233" t="s">
        <v>32</v>
      </c>
      <c r="L10" s="42"/>
      <c r="M10" s="234"/>
      <c r="O10" s="256"/>
      <c r="P10" s="257" t="s">
        <v>33</v>
      </c>
      <c r="Q10" s="258" t="s">
        <v>32</v>
      </c>
      <c r="R10" s="259"/>
      <c r="S10" s="259"/>
      <c r="T10" s="259"/>
      <c r="U10" s="259"/>
      <c r="V10" s="257" t="s">
        <v>34</v>
      </c>
      <c r="W10" s="257"/>
      <c r="X10" s="258" t="s">
        <v>32</v>
      </c>
      <c r="Y10" s="259"/>
      <c r="Z10" s="260"/>
      <c r="AA10" s="26"/>
    </row>
    <row r="11" spans="2:27" ht="6.75" customHeight="1">
      <c r="B11" s="5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234"/>
      <c r="O11" s="256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60"/>
      <c r="AA11" s="26"/>
    </row>
    <row r="12" spans="2:27" ht="12.75" customHeight="1">
      <c r="B12" s="52"/>
      <c r="C12" s="870" t="s">
        <v>66</v>
      </c>
      <c r="D12" s="37" t="s">
        <v>50</v>
      </c>
      <c r="E12" s="38">
        <f>E5</f>
        <v>0.15</v>
      </c>
      <c r="F12" s="37" t="s">
        <v>50</v>
      </c>
      <c r="G12" s="38">
        <f>G5</f>
        <v>0.3</v>
      </c>
      <c r="H12" s="42"/>
      <c r="I12" s="867" t="s">
        <v>65</v>
      </c>
      <c r="J12" s="84" t="s">
        <v>50</v>
      </c>
      <c r="K12" s="49"/>
      <c r="L12" s="48"/>
      <c r="M12" s="234"/>
      <c r="O12" s="256"/>
      <c r="P12" s="864" t="s">
        <v>66</v>
      </c>
      <c r="Q12" s="261" t="s">
        <v>50</v>
      </c>
      <c r="R12" s="270">
        <f>R5</f>
        <v>0.25</v>
      </c>
      <c r="S12" s="261" t="s">
        <v>50</v>
      </c>
      <c r="T12" s="270">
        <f>T5</f>
        <v>0.3</v>
      </c>
      <c r="U12" s="259"/>
      <c r="V12" s="861" t="s">
        <v>65</v>
      </c>
      <c r="W12" s="262" t="s">
        <v>50</v>
      </c>
      <c r="X12" s="271"/>
      <c r="Y12" s="272"/>
      <c r="Z12" s="260"/>
      <c r="AA12" s="26"/>
    </row>
    <row r="13" spans="2:27" ht="12.75">
      <c r="B13" s="52"/>
      <c r="C13" s="871"/>
      <c r="D13" s="40" t="s">
        <v>28</v>
      </c>
      <c r="E13" s="40" t="s">
        <v>29</v>
      </c>
      <c r="F13" s="40" t="s">
        <v>28</v>
      </c>
      <c r="G13" s="40" t="s">
        <v>29</v>
      </c>
      <c r="H13" s="42"/>
      <c r="I13" s="869"/>
      <c r="J13" s="242">
        <f>J6</f>
        <v>0.3</v>
      </c>
      <c r="K13" s="42"/>
      <c r="L13" s="42"/>
      <c r="M13" s="234"/>
      <c r="O13" s="256"/>
      <c r="P13" s="866"/>
      <c r="Q13" s="263" t="s">
        <v>28</v>
      </c>
      <c r="R13" s="263" t="s">
        <v>29</v>
      </c>
      <c r="S13" s="263" t="s">
        <v>28</v>
      </c>
      <c r="T13" s="263" t="s">
        <v>29</v>
      </c>
      <c r="U13" s="259"/>
      <c r="V13" s="863"/>
      <c r="W13" s="264">
        <f>W6</f>
        <v>0.3</v>
      </c>
      <c r="X13" s="259"/>
      <c r="Y13" s="259"/>
      <c r="Z13" s="260"/>
      <c r="AA13" s="26"/>
    </row>
    <row r="14" spans="2:27" ht="12.75">
      <c r="B14" s="52"/>
      <c r="C14" s="43" t="s">
        <v>26</v>
      </c>
      <c r="D14" s="73">
        <v>0.135</v>
      </c>
      <c r="E14" s="73">
        <v>0.145</v>
      </c>
      <c r="F14" s="73">
        <v>0.129</v>
      </c>
      <c r="G14" s="73">
        <v>0.139</v>
      </c>
      <c r="H14" s="42"/>
      <c r="I14" s="45" t="s">
        <v>31</v>
      </c>
      <c r="J14" s="73">
        <v>0.155</v>
      </c>
      <c r="K14" s="54"/>
      <c r="L14" s="54"/>
      <c r="M14" s="234"/>
      <c r="O14" s="256"/>
      <c r="P14" s="265" t="s">
        <v>26</v>
      </c>
      <c r="Q14" s="73">
        <v>0.115</v>
      </c>
      <c r="R14" s="73">
        <v>0.125</v>
      </c>
      <c r="S14" s="73">
        <v>0.109</v>
      </c>
      <c r="T14" s="73">
        <v>0.119</v>
      </c>
      <c r="U14" s="259"/>
      <c r="V14" s="266" t="s">
        <v>31</v>
      </c>
      <c r="W14" s="73">
        <v>0.135</v>
      </c>
      <c r="X14" s="267"/>
      <c r="Y14" s="267"/>
      <c r="Z14" s="260"/>
      <c r="AA14" s="26"/>
    </row>
    <row r="15" spans="2:27" ht="12.75">
      <c r="B15" s="52"/>
      <c r="C15" s="43" t="s">
        <v>27</v>
      </c>
      <c r="D15" s="44" t="s">
        <v>29</v>
      </c>
      <c r="E15" s="44" t="s">
        <v>29</v>
      </c>
      <c r="F15" s="44">
        <f>F14</f>
        <v>0.129</v>
      </c>
      <c r="G15" s="44">
        <f>G14</f>
        <v>0.139</v>
      </c>
      <c r="H15" s="42"/>
      <c r="I15" s="42"/>
      <c r="J15" s="42"/>
      <c r="K15" s="42"/>
      <c r="L15" s="42"/>
      <c r="M15" s="234"/>
      <c r="O15" s="256"/>
      <c r="P15" s="265" t="s">
        <v>27</v>
      </c>
      <c r="Q15" s="268" t="s">
        <v>29</v>
      </c>
      <c r="R15" s="268" t="s">
        <v>29</v>
      </c>
      <c r="S15" s="268">
        <f>S14</f>
        <v>0.109</v>
      </c>
      <c r="T15" s="268" t="s">
        <v>29</v>
      </c>
      <c r="U15" s="259"/>
      <c r="V15" s="259"/>
      <c r="W15" s="259"/>
      <c r="X15" s="259"/>
      <c r="Y15" s="259"/>
      <c r="Z15" s="260"/>
      <c r="AA15" s="26"/>
    </row>
    <row r="16" spans="2:27" ht="12.75">
      <c r="B16" s="52"/>
      <c r="C16" s="281"/>
      <c r="D16" s="252"/>
      <c r="E16" s="252"/>
      <c r="F16" s="252"/>
      <c r="G16" s="252"/>
      <c r="H16" s="252"/>
      <c r="I16" s="252"/>
      <c r="J16" s="282"/>
      <c r="K16" s="252"/>
      <c r="L16" s="283"/>
      <c r="M16" s="234"/>
      <c r="O16" s="256"/>
      <c r="P16" s="257" t="s">
        <v>92</v>
      </c>
      <c r="Q16" s="278"/>
      <c r="R16" s="278"/>
      <c r="S16" s="278"/>
      <c r="T16" s="278"/>
      <c r="U16" s="278"/>
      <c r="V16" s="257" t="s">
        <v>100</v>
      </c>
      <c r="W16" s="279"/>
      <c r="X16" s="278"/>
      <c r="Y16" s="280"/>
      <c r="Z16" s="260"/>
      <c r="AA16" s="26"/>
    </row>
    <row r="17" spans="2:26" ht="12.75">
      <c r="B17" s="52"/>
      <c r="C17" s="232" t="s">
        <v>92</v>
      </c>
      <c r="D17" s="42"/>
      <c r="E17" s="42"/>
      <c r="F17" s="42"/>
      <c r="G17" s="42" t="s">
        <v>30</v>
      </c>
      <c r="H17" s="42"/>
      <c r="I17" s="42"/>
      <c r="J17" s="42"/>
      <c r="K17" s="42"/>
      <c r="L17" s="74">
        <v>50000</v>
      </c>
      <c r="M17" s="234"/>
      <c r="O17" s="256"/>
      <c r="P17" s="259" t="s">
        <v>30</v>
      </c>
      <c r="Q17" s="259"/>
      <c r="R17" s="259"/>
      <c r="S17" s="74">
        <v>100000</v>
      </c>
      <c r="T17" s="276"/>
      <c r="U17" s="259"/>
      <c r="V17" s="259" t="s">
        <v>30</v>
      </c>
      <c r="W17" s="276"/>
      <c r="X17" s="276"/>
      <c r="Y17" s="74">
        <v>1500000</v>
      </c>
      <c r="Z17" s="260"/>
    </row>
    <row r="18" spans="2:26" ht="12.75">
      <c r="B18" s="52"/>
      <c r="C18" s="42"/>
      <c r="D18" s="42"/>
      <c r="E18" s="42"/>
      <c r="F18" s="42"/>
      <c r="G18" s="42" t="s">
        <v>35</v>
      </c>
      <c r="H18" s="42"/>
      <c r="I18" s="42"/>
      <c r="J18" s="42"/>
      <c r="K18" s="42"/>
      <c r="L18" s="74">
        <v>1500</v>
      </c>
      <c r="M18" s="234"/>
      <c r="O18" s="256"/>
      <c r="P18" s="259" t="s">
        <v>99</v>
      </c>
      <c r="Q18" s="259"/>
      <c r="R18" s="259"/>
      <c r="S18" s="492">
        <f>ROUND(S17/$S$110,4)</f>
        <v>3338.8982</v>
      </c>
      <c r="T18" s="276"/>
      <c r="U18" s="276"/>
      <c r="V18" s="259" t="s">
        <v>99</v>
      </c>
      <c r="W18" s="259"/>
      <c r="X18" s="276"/>
      <c r="Y18" s="492">
        <f>ROUND(Y17/$S$110,4)</f>
        <v>50083.4725</v>
      </c>
      <c r="Z18" s="260"/>
    </row>
    <row r="19" spans="2:26" ht="12.75">
      <c r="B19" s="52"/>
      <c r="C19" s="42"/>
      <c r="D19" s="42"/>
      <c r="E19" s="42"/>
      <c r="F19" s="42"/>
      <c r="G19" s="42" t="s">
        <v>36</v>
      </c>
      <c r="H19" s="42"/>
      <c r="I19" s="42"/>
      <c r="J19" s="42"/>
      <c r="K19" s="42"/>
      <c r="L19" s="74">
        <v>1350</v>
      </c>
      <c r="M19" s="234"/>
      <c r="O19" s="256"/>
      <c r="P19" s="259" t="s">
        <v>36</v>
      </c>
      <c r="Q19" s="259"/>
      <c r="R19" s="259"/>
      <c r="S19" s="492">
        <f>ROUND(S17/$S$111,4)</f>
        <v>2491.9013</v>
      </c>
      <c r="T19" s="276"/>
      <c r="U19" s="276"/>
      <c r="V19" s="259" t="s">
        <v>36</v>
      </c>
      <c r="W19" s="259"/>
      <c r="X19" s="276"/>
      <c r="Y19" s="492">
        <f>ROUND(Y17/$S$111,4)</f>
        <v>37378.5198</v>
      </c>
      <c r="Z19" s="260"/>
    </row>
    <row r="20" spans="2:26" ht="12.75">
      <c r="B20" s="236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8"/>
      <c r="O20" s="273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5"/>
    </row>
    <row r="22" spans="2:26" ht="12.75">
      <c r="B22" s="240" t="s">
        <v>133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41"/>
      <c r="O22" s="253" t="s">
        <v>134</v>
      </c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5"/>
    </row>
    <row r="23" spans="2:26" ht="12.75">
      <c r="B23" s="52"/>
      <c r="C23" s="232" t="s">
        <v>33</v>
      </c>
      <c r="D23" s="233" t="s">
        <v>8</v>
      </c>
      <c r="E23" s="42"/>
      <c r="F23" s="232"/>
      <c r="G23" s="233"/>
      <c r="H23" s="42"/>
      <c r="I23" s="232" t="s">
        <v>34</v>
      </c>
      <c r="J23" s="42"/>
      <c r="K23" s="233" t="s">
        <v>8</v>
      </c>
      <c r="L23" s="42"/>
      <c r="M23" s="234"/>
      <c r="O23" s="256"/>
      <c r="P23" s="257" t="s">
        <v>33</v>
      </c>
      <c r="Q23" s="258" t="s">
        <v>8</v>
      </c>
      <c r="R23" s="259"/>
      <c r="S23" s="257"/>
      <c r="T23" s="258"/>
      <c r="U23" s="259"/>
      <c r="V23" s="257" t="s">
        <v>34</v>
      </c>
      <c r="W23" s="259"/>
      <c r="X23" s="258" t="s">
        <v>8</v>
      </c>
      <c r="Y23" s="259"/>
      <c r="Z23" s="260"/>
    </row>
    <row r="24" spans="2:26" ht="12.75">
      <c r="B24" s="52"/>
      <c r="C24" s="42"/>
      <c r="D24" s="237"/>
      <c r="E24" s="42"/>
      <c r="F24" s="42"/>
      <c r="G24" s="42"/>
      <c r="H24" s="42"/>
      <c r="I24" s="42"/>
      <c r="J24" s="42"/>
      <c r="K24" s="42"/>
      <c r="L24" s="42"/>
      <c r="M24" s="234"/>
      <c r="O24" s="256"/>
      <c r="P24" s="259"/>
      <c r="Q24" s="274"/>
      <c r="R24" s="259"/>
      <c r="S24" s="259"/>
      <c r="T24" s="259"/>
      <c r="U24" s="259"/>
      <c r="V24" s="259"/>
      <c r="W24" s="259"/>
      <c r="X24" s="259"/>
      <c r="Y24" s="259"/>
      <c r="Z24" s="260"/>
    </row>
    <row r="25" spans="2:26" ht="12.75" customHeight="1">
      <c r="B25" s="52"/>
      <c r="C25" s="870" t="s">
        <v>64</v>
      </c>
      <c r="D25" s="37" t="s">
        <v>50</v>
      </c>
      <c r="E25" s="72">
        <v>0.05</v>
      </c>
      <c r="F25" s="42"/>
      <c r="G25" s="42"/>
      <c r="H25" s="42"/>
      <c r="I25" s="870" t="s">
        <v>64</v>
      </c>
      <c r="J25" s="37" t="s">
        <v>50</v>
      </c>
      <c r="K25" s="72">
        <v>0.2</v>
      </c>
      <c r="L25" s="42"/>
      <c r="M25" s="234"/>
      <c r="O25" s="256"/>
      <c r="P25" s="864" t="s">
        <v>64</v>
      </c>
      <c r="Q25" s="261" t="s">
        <v>50</v>
      </c>
      <c r="R25" s="72">
        <v>0.3</v>
      </c>
      <c r="S25" s="259"/>
      <c r="T25" s="259"/>
      <c r="U25" s="259"/>
      <c r="V25" s="864" t="s">
        <v>64</v>
      </c>
      <c r="W25" s="261" t="s">
        <v>50</v>
      </c>
      <c r="X25" s="72">
        <v>0.3</v>
      </c>
      <c r="Y25" s="259"/>
      <c r="Z25" s="260"/>
    </row>
    <row r="26" spans="2:26" ht="12.75">
      <c r="B26" s="52"/>
      <c r="C26" s="871"/>
      <c r="D26" s="40" t="s">
        <v>28</v>
      </c>
      <c r="E26" s="40" t="s">
        <v>135</v>
      </c>
      <c r="F26" s="42"/>
      <c r="G26" s="42"/>
      <c r="H26" s="42"/>
      <c r="I26" s="871"/>
      <c r="J26" s="40" t="s">
        <v>28</v>
      </c>
      <c r="K26" s="40" t="s">
        <v>135</v>
      </c>
      <c r="L26" s="42"/>
      <c r="M26" s="234"/>
      <c r="O26" s="256"/>
      <c r="P26" s="866"/>
      <c r="Q26" s="263" t="s">
        <v>28</v>
      </c>
      <c r="R26" s="263" t="s">
        <v>135</v>
      </c>
      <c r="S26" s="259"/>
      <c r="T26" s="259"/>
      <c r="U26" s="259"/>
      <c r="V26" s="866"/>
      <c r="W26" s="263" t="s">
        <v>28</v>
      </c>
      <c r="X26" s="263" t="s">
        <v>135</v>
      </c>
      <c r="Y26" s="259"/>
      <c r="Z26" s="260"/>
    </row>
    <row r="27" spans="2:26" ht="12.75">
      <c r="B27" s="52"/>
      <c r="C27" s="43" t="s">
        <v>27</v>
      </c>
      <c r="D27" s="73">
        <v>0.139</v>
      </c>
      <c r="E27" s="73">
        <v>0.125</v>
      </c>
      <c r="F27" s="42"/>
      <c r="G27" s="42"/>
      <c r="H27" s="42"/>
      <c r="I27" s="43" t="s">
        <v>31</v>
      </c>
      <c r="J27" s="73">
        <v>0.159</v>
      </c>
      <c r="K27" s="73">
        <v>0.145</v>
      </c>
      <c r="L27" s="42"/>
      <c r="M27" s="234"/>
      <c r="O27" s="256"/>
      <c r="P27" s="265" t="s">
        <v>27</v>
      </c>
      <c r="Q27" s="73">
        <v>0.119</v>
      </c>
      <c r="R27" s="73">
        <v>0.105</v>
      </c>
      <c r="S27" s="259"/>
      <c r="T27" s="259"/>
      <c r="U27" s="259"/>
      <c r="V27" s="265" t="s">
        <v>31</v>
      </c>
      <c r="W27" s="73">
        <v>0.139</v>
      </c>
      <c r="X27" s="73">
        <v>0.125</v>
      </c>
      <c r="Y27" s="259"/>
      <c r="Z27" s="260"/>
    </row>
    <row r="28" spans="2:26" ht="12.75">
      <c r="B28" s="5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234"/>
      <c r="O28" s="256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60"/>
    </row>
    <row r="29" spans="2:26" ht="12.75">
      <c r="B29" s="52"/>
      <c r="C29" s="56"/>
      <c r="D29" s="42"/>
      <c r="E29" s="42"/>
      <c r="F29" s="42"/>
      <c r="G29" s="42"/>
      <c r="H29" s="42"/>
      <c r="I29" s="42"/>
      <c r="J29" s="42"/>
      <c r="K29" s="42"/>
      <c r="L29" s="42"/>
      <c r="M29" s="234"/>
      <c r="O29" s="256"/>
      <c r="P29" s="269"/>
      <c r="Q29" s="259"/>
      <c r="R29" s="259"/>
      <c r="S29" s="259"/>
      <c r="T29" s="259"/>
      <c r="U29" s="259"/>
      <c r="V29" s="259"/>
      <c r="W29" s="259"/>
      <c r="X29" s="259"/>
      <c r="Y29" s="259"/>
      <c r="Z29" s="260"/>
    </row>
    <row r="30" spans="2:26" ht="12.75">
      <c r="B30" s="52"/>
      <c r="C30" s="232" t="s">
        <v>33</v>
      </c>
      <c r="D30" s="233" t="s">
        <v>32</v>
      </c>
      <c r="E30" s="42"/>
      <c r="F30" s="232"/>
      <c r="G30" s="233"/>
      <c r="H30" s="42"/>
      <c r="I30" s="232" t="s">
        <v>34</v>
      </c>
      <c r="J30" s="232"/>
      <c r="K30" s="233" t="s">
        <v>32</v>
      </c>
      <c r="L30" s="42"/>
      <c r="M30" s="234"/>
      <c r="O30" s="256"/>
      <c r="P30" s="257" t="s">
        <v>33</v>
      </c>
      <c r="Q30" s="258" t="s">
        <v>32</v>
      </c>
      <c r="R30" s="259"/>
      <c r="S30" s="257"/>
      <c r="T30" s="258"/>
      <c r="U30" s="259"/>
      <c r="V30" s="257" t="s">
        <v>34</v>
      </c>
      <c r="W30" s="257"/>
      <c r="X30" s="258" t="s">
        <v>32</v>
      </c>
      <c r="Y30" s="259"/>
      <c r="Z30" s="260"/>
    </row>
    <row r="31" spans="2:26" ht="12.75">
      <c r="B31" s="52"/>
      <c r="C31" s="42"/>
      <c r="D31" s="237"/>
      <c r="E31" s="42"/>
      <c r="F31" s="42"/>
      <c r="G31" s="233"/>
      <c r="H31" s="42"/>
      <c r="I31" s="42"/>
      <c r="J31" s="42"/>
      <c r="K31" s="42"/>
      <c r="L31" s="42"/>
      <c r="M31" s="234"/>
      <c r="O31" s="256"/>
      <c r="P31" s="259"/>
      <c r="Q31" s="274"/>
      <c r="R31" s="259"/>
      <c r="S31" s="259"/>
      <c r="T31" s="258"/>
      <c r="U31" s="259"/>
      <c r="V31" s="259"/>
      <c r="W31" s="259"/>
      <c r="X31" s="259"/>
      <c r="Y31" s="259"/>
      <c r="Z31" s="260"/>
    </row>
    <row r="32" spans="2:26" ht="12.75" customHeight="1">
      <c r="B32" s="52"/>
      <c r="C32" s="870" t="s">
        <v>64</v>
      </c>
      <c r="D32" s="37" t="s">
        <v>50</v>
      </c>
      <c r="E32" s="522">
        <f>E25</f>
        <v>0.05</v>
      </c>
      <c r="F32" s="232"/>
      <c r="G32" s="233"/>
      <c r="H32" s="42"/>
      <c r="I32" s="870" t="s">
        <v>64</v>
      </c>
      <c r="J32" s="37" t="s">
        <v>50</v>
      </c>
      <c r="K32" s="522">
        <f>K25</f>
        <v>0.2</v>
      </c>
      <c r="L32" s="49"/>
      <c r="M32" s="234"/>
      <c r="O32" s="256"/>
      <c r="P32" s="864" t="s">
        <v>64</v>
      </c>
      <c r="Q32" s="261" t="s">
        <v>50</v>
      </c>
      <c r="R32" s="524">
        <f>R25</f>
        <v>0.3</v>
      </c>
      <c r="S32" s="257"/>
      <c r="T32" s="258"/>
      <c r="U32" s="259"/>
      <c r="V32" s="864" t="s">
        <v>64</v>
      </c>
      <c r="W32" s="261" t="s">
        <v>50</v>
      </c>
      <c r="X32" s="524">
        <f>X25</f>
        <v>0.3</v>
      </c>
      <c r="Y32" s="271"/>
      <c r="Z32" s="260"/>
    </row>
    <row r="33" spans="2:26" ht="12.75">
      <c r="B33" s="52"/>
      <c r="C33" s="871"/>
      <c r="D33" s="40" t="s">
        <v>28</v>
      </c>
      <c r="E33" s="523" t="s">
        <v>135</v>
      </c>
      <c r="F33" s="232"/>
      <c r="G33" s="232"/>
      <c r="H33" s="42"/>
      <c r="I33" s="871"/>
      <c r="J33" s="40" t="s">
        <v>28</v>
      </c>
      <c r="K33" s="523" t="s">
        <v>135</v>
      </c>
      <c r="L33" s="42"/>
      <c r="M33" s="234"/>
      <c r="O33" s="256"/>
      <c r="P33" s="866"/>
      <c r="Q33" s="263" t="s">
        <v>28</v>
      </c>
      <c r="R33" s="525" t="s">
        <v>135</v>
      </c>
      <c r="S33" s="257"/>
      <c r="T33" s="257"/>
      <c r="U33" s="259"/>
      <c r="V33" s="866"/>
      <c r="W33" s="263" t="s">
        <v>28</v>
      </c>
      <c r="X33" s="525" t="s">
        <v>135</v>
      </c>
      <c r="Y33" s="259"/>
      <c r="Z33" s="260"/>
    </row>
    <row r="34" spans="2:26" ht="12.75">
      <c r="B34" s="52"/>
      <c r="C34" s="43" t="s">
        <v>27</v>
      </c>
      <c r="D34" s="73">
        <v>0.129</v>
      </c>
      <c r="E34" s="73">
        <v>0.115</v>
      </c>
      <c r="F34" s="232"/>
      <c r="G34" s="232"/>
      <c r="H34" s="42"/>
      <c r="I34" s="43" t="s">
        <v>31</v>
      </c>
      <c r="J34" s="73">
        <v>0.149</v>
      </c>
      <c r="K34" s="73">
        <v>0.135</v>
      </c>
      <c r="L34" s="54"/>
      <c r="M34" s="234"/>
      <c r="O34" s="256"/>
      <c r="P34" s="265" t="s">
        <v>27</v>
      </c>
      <c r="Q34" s="73">
        <v>0.109</v>
      </c>
      <c r="R34" s="73">
        <v>0.095</v>
      </c>
      <c r="S34" s="257"/>
      <c r="T34" s="257"/>
      <c r="U34" s="259"/>
      <c r="V34" s="265" t="s">
        <v>31</v>
      </c>
      <c r="W34" s="73">
        <v>0.129</v>
      </c>
      <c r="X34" s="73">
        <v>0.115</v>
      </c>
      <c r="Y34" s="267"/>
      <c r="Z34" s="260"/>
    </row>
    <row r="35" spans="2:26" ht="12.75">
      <c r="B35" s="5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234"/>
      <c r="O35" s="256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60"/>
    </row>
    <row r="36" spans="2:26" ht="12.75">
      <c r="B36" s="52"/>
      <c r="C36" s="42"/>
      <c r="D36" s="42"/>
      <c r="E36" s="42"/>
      <c r="F36" s="42"/>
      <c r="G36" s="42"/>
      <c r="H36" s="42"/>
      <c r="I36" s="42"/>
      <c r="J36" s="42"/>
      <c r="K36" s="42"/>
      <c r="L36" s="235"/>
      <c r="M36" s="234"/>
      <c r="O36" s="256"/>
      <c r="P36" s="257" t="s">
        <v>92</v>
      </c>
      <c r="Q36" s="259"/>
      <c r="R36" s="259"/>
      <c r="S36" s="259"/>
      <c r="T36" s="276"/>
      <c r="U36" s="259"/>
      <c r="V36" s="257" t="s">
        <v>100</v>
      </c>
      <c r="W36" s="259"/>
      <c r="X36" s="259"/>
      <c r="Y36" s="259"/>
      <c r="Z36" s="260"/>
    </row>
    <row r="37" spans="2:26" ht="12.75">
      <c r="B37" s="52"/>
      <c r="C37" s="232" t="s">
        <v>92</v>
      </c>
      <c r="D37" s="42"/>
      <c r="E37" s="42"/>
      <c r="F37" s="42"/>
      <c r="G37" s="42" t="s">
        <v>30</v>
      </c>
      <c r="H37" s="42"/>
      <c r="I37" s="42"/>
      <c r="J37" s="42"/>
      <c r="K37" s="42"/>
      <c r="L37" s="74">
        <v>50000</v>
      </c>
      <c r="M37" s="234"/>
      <c r="O37" s="256"/>
      <c r="P37" s="259" t="s">
        <v>30</v>
      </c>
      <c r="Q37" s="259"/>
      <c r="R37" s="259"/>
      <c r="S37" s="74">
        <v>100000</v>
      </c>
      <c r="T37" s="276"/>
      <c r="U37" s="259"/>
      <c r="V37" s="259" t="s">
        <v>30</v>
      </c>
      <c r="W37" s="276"/>
      <c r="X37" s="276"/>
      <c r="Y37" s="74">
        <v>1500000</v>
      </c>
      <c r="Z37" s="260"/>
    </row>
    <row r="38" spans="2:26" ht="12.75">
      <c r="B38" s="52"/>
      <c r="C38" s="42"/>
      <c r="D38" s="42"/>
      <c r="E38" s="42"/>
      <c r="F38" s="42"/>
      <c r="G38" s="42" t="s">
        <v>35</v>
      </c>
      <c r="H38" s="42"/>
      <c r="I38" s="42"/>
      <c r="J38" s="42"/>
      <c r="K38" s="42"/>
      <c r="L38" s="74">
        <v>1500</v>
      </c>
      <c r="M38" s="234"/>
      <c r="O38" s="256"/>
      <c r="P38" s="259" t="s">
        <v>99</v>
      </c>
      <c r="Q38" s="259"/>
      <c r="R38" s="259"/>
      <c r="S38" s="492">
        <f>ROUND(S37/$S$110,4)</f>
        <v>3338.8982</v>
      </c>
      <c r="T38" s="276"/>
      <c r="U38" s="276"/>
      <c r="V38" s="259" t="s">
        <v>99</v>
      </c>
      <c r="W38" s="259"/>
      <c r="X38" s="276"/>
      <c r="Y38" s="492">
        <f>ROUND(Y37/$S$110,4)</f>
        <v>50083.4725</v>
      </c>
      <c r="Z38" s="260"/>
    </row>
    <row r="39" spans="2:26" ht="12.75">
      <c r="B39" s="52"/>
      <c r="C39" s="42"/>
      <c r="D39" s="42"/>
      <c r="E39" s="42"/>
      <c r="F39" s="42"/>
      <c r="G39" s="42" t="s">
        <v>36</v>
      </c>
      <c r="H39" s="42"/>
      <c r="I39" s="42"/>
      <c r="J39" s="42"/>
      <c r="K39" s="42"/>
      <c r="L39" s="74">
        <v>1350</v>
      </c>
      <c r="M39" s="234"/>
      <c r="O39" s="256"/>
      <c r="P39" s="259" t="s">
        <v>36</v>
      </c>
      <c r="Q39" s="259"/>
      <c r="R39" s="259"/>
      <c r="S39" s="492">
        <f>ROUND(S37/$S$111,4)</f>
        <v>2491.9013</v>
      </c>
      <c r="T39" s="276"/>
      <c r="U39" s="276"/>
      <c r="V39" s="259" t="s">
        <v>36</v>
      </c>
      <c r="W39" s="259"/>
      <c r="X39" s="276"/>
      <c r="Y39" s="492">
        <f>ROUND(Y37/$S$111,4)</f>
        <v>37378.5198</v>
      </c>
      <c r="Z39" s="260"/>
    </row>
    <row r="40" spans="2:26" ht="12.75">
      <c r="B40" s="236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8"/>
      <c r="O40" s="273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5"/>
    </row>
    <row r="42" spans="2:26" ht="12.75">
      <c r="B42" s="240" t="s">
        <v>148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41"/>
      <c r="O42" s="253" t="s">
        <v>153</v>
      </c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5"/>
    </row>
    <row r="43" spans="2:26" ht="12.75">
      <c r="B43" s="52"/>
      <c r="C43" s="232" t="s">
        <v>33</v>
      </c>
      <c r="D43" s="233" t="s">
        <v>8</v>
      </c>
      <c r="E43" s="42"/>
      <c r="F43" s="42"/>
      <c r="G43" s="42"/>
      <c r="H43" s="42"/>
      <c r="I43" s="232" t="s">
        <v>34</v>
      </c>
      <c r="J43" s="42"/>
      <c r="K43" s="233" t="s">
        <v>8</v>
      </c>
      <c r="L43" s="42"/>
      <c r="M43" s="234"/>
      <c r="O43" s="256"/>
      <c r="P43" s="257" t="s">
        <v>33</v>
      </c>
      <c r="Q43" s="258" t="s">
        <v>8</v>
      </c>
      <c r="R43" s="259"/>
      <c r="S43" s="259"/>
      <c r="T43" s="259"/>
      <c r="U43" s="259"/>
      <c r="V43" s="257" t="s">
        <v>34</v>
      </c>
      <c r="W43" s="259"/>
      <c r="X43" s="258" t="s">
        <v>8</v>
      </c>
      <c r="Y43" s="259"/>
      <c r="Z43" s="260"/>
    </row>
    <row r="44" spans="2:26" ht="12.75">
      <c r="B44" s="5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234"/>
      <c r="O44" s="256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60"/>
    </row>
    <row r="45" spans="2:26" ht="12.75">
      <c r="B45" s="52"/>
      <c r="C45" s="870" t="s">
        <v>64</v>
      </c>
      <c r="D45" s="646" t="s">
        <v>149</v>
      </c>
      <c r="E45" s="72">
        <v>0.1</v>
      </c>
      <c r="F45" s="39"/>
      <c r="G45" s="39"/>
      <c r="H45" s="42"/>
      <c r="I45" s="867" t="s">
        <v>65</v>
      </c>
      <c r="J45" s="618"/>
      <c r="K45" s="241"/>
      <c r="L45" s="42"/>
      <c r="M45" s="234"/>
      <c r="O45" s="256"/>
      <c r="P45" s="864" t="s">
        <v>64</v>
      </c>
      <c r="Q45" s="647" t="s">
        <v>149</v>
      </c>
      <c r="R45" s="72">
        <v>0.25</v>
      </c>
      <c r="S45" s="286"/>
      <c r="T45" s="286"/>
      <c r="U45" s="259"/>
      <c r="V45" s="861" t="s">
        <v>65</v>
      </c>
      <c r="W45" s="625"/>
      <c r="X45" s="255"/>
      <c r="Y45" s="259"/>
      <c r="Z45" s="260"/>
    </row>
    <row r="46" spans="2:26" ht="12.75">
      <c r="B46" s="52"/>
      <c r="C46" s="873"/>
      <c r="D46" s="646" t="s">
        <v>150</v>
      </c>
      <c r="E46" s="72">
        <v>0.2</v>
      </c>
      <c r="F46" s="39"/>
      <c r="G46" s="39"/>
      <c r="H46" s="42"/>
      <c r="I46" s="868"/>
      <c r="J46" s="619" t="s">
        <v>50</v>
      </c>
      <c r="K46" s="654">
        <v>0.3</v>
      </c>
      <c r="L46" s="42"/>
      <c r="M46" s="234"/>
      <c r="O46" s="256"/>
      <c r="P46" s="865"/>
      <c r="Q46" s="647" t="s">
        <v>150</v>
      </c>
      <c r="R46" s="72">
        <v>0.4</v>
      </c>
      <c r="S46" s="286"/>
      <c r="T46" s="286"/>
      <c r="U46" s="259"/>
      <c r="V46" s="862"/>
      <c r="W46" s="626" t="s">
        <v>50</v>
      </c>
      <c r="X46" s="654">
        <v>0.3</v>
      </c>
      <c r="Y46" s="259"/>
      <c r="Z46" s="260"/>
    </row>
    <row r="47" spans="2:26" ht="12.75">
      <c r="B47" s="52"/>
      <c r="C47" s="871"/>
      <c r="D47" s="40" t="s">
        <v>151</v>
      </c>
      <c r="E47" s="40" t="s">
        <v>152</v>
      </c>
      <c r="F47" s="39"/>
      <c r="G47" s="39"/>
      <c r="H47" s="42"/>
      <c r="I47" s="869"/>
      <c r="J47" s="523" t="s">
        <v>151</v>
      </c>
      <c r="K47" s="523" t="s">
        <v>152</v>
      </c>
      <c r="L47" s="42"/>
      <c r="M47" s="234"/>
      <c r="O47" s="256"/>
      <c r="P47" s="866"/>
      <c r="Q47" s="263" t="s">
        <v>151</v>
      </c>
      <c r="R47" s="263" t="s">
        <v>152</v>
      </c>
      <c r="S47" s="286"/>
      <c r="T47" s="286"/>
      <c r="U47" s="259"/>
      <c r="V47" s="863"/>
      <c r="W47" s="525" t="s">
        <v>151</v>
      </c>
      <c r="X47" s="525" t="s">
        <v>152</v>
      </c>
      <c r="Y47" s="259"/>
      <c r="Z47" s="260"/>
    </row>
    <row r="48" spans="2:26" ht="12.75">
      <c r="B48" s="52"/>
      <c r="C48" s="617" t="s">
        <v>26</v>
      </c>
      <c r="D48" s="73">
        <v>0.155</v>
      </c>
      <c r="E48" s="73">
        <v>0.165</v>
      </c>
      <c r="F48" s="39"/>
      <c r="G48" s="39"/>
      <c r="H48" s="42"/>
      <c r="I48" s="45" t="s">
        <v>31</v>
      </c>
      <c r="J48" s="73">
        <v>0.175</v>
      </c>
      <c r="K48" s="73">
        <v>0.185</v>
      </c>
      <c r="L48" s="42"/>
      <c r="M48" s="234"/>
      <c r="O48" s="256"/>
      <c r="P48" s="622" t="s">
        <v>26</v>
      </c>
      <c r="Q48" s="73">
        <v>0.135</v>
      </c>
      <c r="R48" s="73">
        <v>0.145</v>
      </c>
      <c r="S48" s="286"/>
      <c r="T48" s="286"/>
      <c r="U48" s="259"/>
      <c r="V48" s="266" t="s">
        <v>31</v>
      </c>
      <c r="W48" s="73">
        <v>0.155</v>
      </c>
      <c r="X48" s="73">
        <v>0.165</v>
      </c>
      <c r="Y48" s="259"/>
      <c r="Z48" s="260"/>
    </row>
    <row r="49" spans="2:26" ht="12.75">
      <c r="B49" s="52"/>
      <c r="C49" s="616"/>
      <c r="D49" s="54"/>
      <c r="E49" s="54"/>
      <c r="F49" s="54"/>
      <c r="G49" s="54"/>
      <c r="H49" s="42"/>
      <c r="I49" s="42"/>
      <c r="J49" s="42"/>
      <c r="K49" s="42"/>
      <c r="L49" s="42"/>
      <c r="M49" s="234"/>
      <c r="O49" s="256"/>
      <c r="P49" s="623"/>
      <c r="Q49" s="267"/>
      <c r="R49" s="267"/>
      <c r="S49" s="267"/>
      <c r="T49" s="267"/>
      <c r="U49" s="259"/>
      <c r="V49" s="259"/>
      <c r="W49" s="259"/>
      <c r="X49" s="259"/>
      <c r="Y49" s="259"/>
      <c r="Z49" s="260"/>
    </row>
    <row r="50" spans="2:26" ht="12.75">
      <c r="B50" s="52"/>
      <c r="C50" s="232" t="s">
        <v>33</v>
      </c>
      <c r="D50" s="233" t="s">
        <v>32</v>
      </c>
      <c r="E50" s="42"/>
      <c r="F50" s="42"/>
      <c r="G50" s="42"/>
      <c r="H50" s="42"/>
      <c r="I50" s="232" t="s">
        <v>34</v>
      </c>
      <c r="J50" s="232"/>
      <c r="K50" s="233" t="s">
        <v>32</v>
      </c>
      <c r="L50" s="42"/>
      <c r="M50" s="234"/>
      <c r="O50" s="256"/>
      <c r="P50" s="257" t="s">
        <v>33</v>
      </c>
      <c r="Q50" s="258" t="s">
        <v>32</v>
      </c>
      <c r="R50" s="259"/>
      <c r="S50" s="259"/>
      <c r="T50" s="259"/>
      <c r="U50" s="259"/>
      <c r="V50" s="257" t="s">
        <v>34</v>
      </c>
      <c r="W50" s="257"/>
      <c r="X50" s="258" t="s">
        <v>32</v>
      </c>
      <c r="Y50" s="259"/>
      <c r="Z50" s="260"/>
    </row>
    <row r="51" spans="2:26" ht="12.75">
      <c r="B51" s="5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234"/>
      <c r="O51" s="256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60"/>
    </row>
    <row r="52" spans="2:26" ht="12.75">
      <c r="B52" s="52"/>
      <c r="C52" s="870" t="s">
        <v>64</v>
      </c>
      <c r="D52" s="615" t="s">
        <v>149</v>
      </c>
      <c r="E52" s="38">
        <f>E45</f>
        <v>0.1</v>
      </c>
      <c r="F52" s="39"/>
      <c r="G52" s="39"/>
      <c r="H52" s="42"/>
      <c r="I52" s="867" t="s">
        <v>65</v>
      </c>
      <c r="J52" s="618"/>
      <c r="K52" s="241"/>
      <c r="L52" s="48"/>
      <c r="M52" s="234"/>
      <c r="O52" s="256"/>
      <c r="P52" s="864" t="s">
        <v>64</v>
      </c>
      <c r="Q52" s="624" t="s">
        <v>149</v>
      </c>
      <c r="R52" s="270">
        <f>R45</f>
        <v>0.25</v>
      </c>
      <c r="S52" s="286"/>
      <c r="T52" s="286"/>
      <c r="U52" s="259"/>
      <c r="V52" s="861" t="s">
        <v>65</v>
      </c>
      <c r="W52" s="625"/>
      <c r="X52" s="255"/>
      <c r="Y52" s="272"/>
      <c r="Z52" s="627"/>
    </row>
    <row r="53" spans="2:26" ht="12.75">
      <c r="B53" s="52"/>
      <c r="C53" s="873"/>
      <c r="D53" s="615" t="s">
        <v>150</v>
      </c>
      <c r="E53" s="38">
        <f>E46</f>
        <v>0.2</v>
      </c>
      <c r="F53" s="39"/>
      <c r="G53" s="39"/>
      <c r="H53" s="42"/>
      <c r="I53" s="868"/>
      <c r="J53" s="619" t="s">
        <v>50</v>
      </c>
      <c r="K53" s="644">
        <f>K46</f>
        <v>0.3</v>
      </c>
      <c r="L53" s="42"/>
      <c r="M53" s="234"/>
      <c r="O53" s="256"/>
      <c r="P53" s="865"/>
      <c r="Q53" s="624" t="s">
        <v>150</v>
      </c>
      <c r="R53" s="270">
        <f>R46</f>
        <v>0.4</v>
      </c>
      <c r="S53" s="286"/>
      <c r="T53" s="286"/>
      <c r="U53" s="259"/>
      <c r="V53" s="862"/>
      <c r="W53" s="626" t="s">
        <v>50</v>
      </c>
      <c r="X53" s="645">
        <f>X46</f>
        <v>0.3</v>
      </c>
      <c r="Y53" s="259"/>
      <c r="Z53" s="260"/>
    </row>
    <row r="54" spans="2:26" ht="12.75">
      <c r="B54" s="52"/>
      <c r="C54" s="871"/>
      <c r="D54" s="40" t="s">
        <v>151</v>
      </c>
      <c r="E54" s="40" t="s">
        <v>152</v>
      </c>
      <c r="F54" s="39"/>
      <c r="G54" s="39"/>
      <c r="H54" s="42"/>
      <c r="I54" s="869"/>
      <c r="J54" s="523" t="s">
        <v>151</v>
      </c>
      <c r="K54" s="523" t="s">
        <v>152</v>
      </c>
      <c r="L54" s="54"/>
      <c r="M54" s="234"/>
      <c r="O54" s="256"/>
      <c r="P54" s="866"/>
      <c r="Q54" s="263" t="s">
        <v>151</v>
      </c>
      <c r="R54" s="263" t="s">
        <v>152</v>
      </c>
      <c r="S54" s="286"/>
      <c r="T54" s="286"/>
      <c r="U54" s="259"/>
      <c r="V54" s="863"/>
      <c r="W54" s="525" t="s">
        <v>151</v>
      </c>
      <c r="X54" s="525" t="s">
        <v>152</v>
      </c>
      <c r="Y54" s="267"/>
      <c r="Z54" s="628"/>
    </row>
    <row r="55" spans="2:26" ht="12.75">
      <c r="B55" s="52"/>
      <c r="C55" s="617" t="s">
        <v>26</v>
      </c>
      <c r="D55" s="73">
        <v>0.145</v>
      </c>
      <c r="E55" s="73">
        <v>0.155</v>
      </c>
      <c r="F55" s="39"/>
      <c r="G55" s="39"/>
      <c r="H55" s="42"/>
      <c r="I55" s="45" t="s">
        <v>31</v>
      </c>
      <c r="J55" s="73">
        <v>0.165</v>
      </c>
      <c r="K55" s="73">
        <v>0.175</v>
      </c>
      <c r="L55" s="42"/>
      <c r="M55" s="234"/>
      <c r="O55" s="256"/>
      <c r="P55" s="622" t="s">
        <v>26</v>
      </c>
      <c r="Q55" s="73">
        <v>0.125</v>
      </c>
      <c r="R55" s="73">
        <v>0.135</v>
      </c>
      <c r="S55" s="286"/>
      <c r="T55" s="286"/>
      <c r="U55" s="259"/>
      <c r="V55" s="266" t="s">
        <v>31</v>
      </c>
      <c r="W55" s="73">
        <v>0.145</v>
      </c>
      <c r="X55" s="73">
        <v>0.155</v>
      </c>
      <c r="Y55" s="259"/>
      <c r="Z55" s="260"/>
    </row>
    <row r="56" spans="2:26" ht="12.75">
      <c r="B56" s="52"/>
      <c r="C56" s="281"/>
      <c r="D56" s="252"/>
      <c r="E56" s="252"/>
      <c r="F56" s="252"/>
      <c r="G56" s="252"/>
      <c r="H56" s="252"/>
      <c r="I56" s="252"/>
      <c r="J56" s="282"/>
      <c r="K56" s="252"/>
      <c r="L56" s="283"/>
      <c r="M56" s="234"/>
      <c r="O56" s="256"/>
      <c r="P56" s="277"/>
      <c r="Q56" s="278"/>
      <c r="R56" s="278"/>
      <c r="S56" s="278"/>
      <c r="T56" s="278"/>
      <c r="U56" s="278"/>
      <c r="V56" s="278"/>
      <c r="W56" s="279"/>
      <c r="X56" s="278"/>
      <c r="Y56" s="280"/>
      <c r="Z56" s="260"/>
    </row>
    <row r="57" spans="2:26" ht="12.75">
      <c r="B57" s="52"/>
      <c r="C57" s="232" t="s">
        <v>92</v>
      </c>
      <c r="D57" s="42"/>
      <c r="E57" s="42"/>
      <c r="F57" s="621"/>
      <c r="G57" s="621"/>
      <c r="H57" s="42"/>
      <c r="I57" s="232" t="s">
        <v>92</v>
      </c>
      <c r="J57" s="42"/>
      <c r="K57" s="42"/>
      <c r="L57" s="42"/>
      <c r="M57" s="234"/>
      <c r="O57" s="256"/>
      <c r="P57" s="257" t="s">
        <v>92</v>
      </c>
      <c r="Q57" s="259"/>
      <c r="R57" s="259"/>
      <c r="S57" s="276"/>
      <c r="T57" s="276"/>
      <c r="U57" s="259"/>
      <c r="V57" s="257" t="s">
        <v>92</v>
      </c>
      <c r="W57" s="259"/>
      <c r="X57" s="259"/>
      <c r="Y57" s="259"/>
      <c r="Z57" s="260"/>
    </row>
    <row r="58" spans="2:26" ht="12.75">
      <c r="B58" s="52"/>
      <c r="C58" s="42"/>
      <c r="D58" s="42"/>
      <c r="E58" s="42"/>
      <c r="F58" s="621"/>
      <c r="G58" s="621"/>
      <c r="H58" s="42"/>
      <c r="I58" s="42"/>
      <c r="J58" s="42"/>
      <c r="K58" s="42"/>
      <c r="L58" s="42"/>
      <c r="M58" s="234"/>
      <c r="O58" s="256"/>
      <c r="P58" s="259"/>
      <c r="Q58" s="259"/>
      <c r="R58" s="259"/>
      <c r="S58" s="276"/>
      <c r="T58" s="276"/>
      <c r="U58" s="259"/>
      <c r="V58" s="259"/>
      <c r="W58" s="259"/>
      <c r="X58" s="259"/>
      <c r="Y58" s="259"/>
      <c r="Z58" s="260"/>
    </row>
    <row r="59" spans="2:26" ht="12.75">
      <c r="B59" s="52"/>
      <c r="C59" s="42" t="s">
        <v>8</v>
      </c>
      <c r="D59" s="74">
        <v>100000</v>
      </c>
      <c r="E59" s="42"/>
      <c r="F59" s="621"/>
      <c r="G59" s="621"/>
      <c r="H59" s="42"/>
      <c r="I59" s="42" t="s">
        <v>8</v>
      </c>
      <c r="J59" s="621"/>
      <c r="K59" s="621"/>
      <c r="L59" s="632">
        <v>5000000</v>
      </c>
      <c r="M59" s="234"/>
      <c r="O59" s="256"/>
      <c r="P59" s="259" t="s">
        <v>8</v>
      </c>
      <c r="Q59" s="74">
        <v>100000</v>
      </c>
      <c r="R59" s="259"/>
      <c r="S59" s="276"/>
      <c r="T59" s="276"/>
      <c r="U59" s="259"/>
      <c r="V59" s="259" t="s">
        <v>8</v>
      </c>
      <c r="W59" s="276"/>
      <c r="X59" s="276"/>
      <c r="Y59" s="632">
        <v>1500000</v>
      </c>
      <c r="Z59" s="260"/>
    </row>
    <row r="60" spans="2:26" ht="12.75">
      <c r="B60" s="52"/>
      <c r="C60" s="42" t="s">
        <v>99</v>
      </c>
      <c r="D60" s="620">
        <f>ROUND(D59/$S$110,4)</f>
        <v>3338.8982</v>
      </c>
      <c r="E60" s="42"/>
      <c r="F60" s="621"/>
      <c r="G60" s="621"/>
      <c r="H60" s="42"/>
      <c r="I60" s="42" t="s">
        <v>99</v>
      </c>
      <c r="J60" s="621"/>
      <c r="K60" s="621"/>
      <c r="L60" s="634">
        <f>ROUND(L59/$S$110,4)</f>
        <v>166944.9082</v>
      </c>
      <c r="M60" s="234"/>
      <c r="O60" s="256"/>
      <c r="P60" s="259" t="s">
        <v>99</v>
      </c>
      <c r="Q60" s="492">
        <f>ROUND(Q59/$S$110,4)</f>
        <v>3338.8982</v>
      </c>
      <c r="R60" s="259"/>
      <c r="S60" s="276"/>
      <c r="T60" s="276"/>
      <c r="U60" s="259"/>
      <c r="V60" s="259" t="s">
        <v>99</v>
      </c>
      <c r="W60" s="276"/>
      <c r="X60" s="276"/>
      <c r="Y60" s="633">
        <f>ROUND(Y59/$S$110,4)</f>
        <v>50083.4725</v>
      </c>
      <c r="Z60" s="260"/>
    </row>
    <row r="61" spans="2:26" ht="12.75">
      <c r="B61" s="52"/>
      <c r="C61" s="42" t="s">
        <v>36</v>
      </c>
      <c r="D61" s="620">
        <f>ROUND(D59/$S$111,4)</f>
        <v>2491.9013</v>
      </c>
      <c r="E61" s="42"/>
      <c r="F61" s="621"/>
      <c r="G61" s="621"/>
      <c r="H61" s="42"/>
      <c r="I61" s="42" t="s">
        <v>36</v>
      </c>
      <c r="J61" s="621"/>
      <c r="K61" s="621"/>
      <c r="L61" s="634">
        <f>ROUND(L59/$S$111,4)</f>
        <v>124595.066</v>
      </c>
      <c r="M61" s="234"/>
      <c r="O61" s="256"/>
      <c r="P61" s="259" t="s">
        <v>36</v>
      </c>
      <c r="Q61" s="492">
        <f>ROUND(Q59/$S$111,4)</f>
        <v>2491.9013</v>
      </c>
      <c r="R61" s="259"/>
      <c r="S61" s="276"/>
      <c r="T61" s="276"/>
      <c r="U61" s="259"/>
      <c r="V61" s="259" t="s">
        <v>36</v>
      </c>
      <c r="W61" s="276"/>
      <c r="X61" s="276"/>
      <c r="Y61" s="633">
        <f>ROUND(Y59/$S$111,4)</f>
        <v>37378.5198</v>
      </c>
      <c r="Z61" s="260"/>
    </row>
    <row r="62" spans="2:26" ht="12.75">
      <c r="B62" s="236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8"/>
      <c r="O62" s="273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5"/>
    </row>
    <row r="64" spans="2:26" ht="12.75">
      <c r="B64" s="240" t="s">
        <v>67</v>
      </c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41"/>
      <c r="O64" s="253" t="s">
        <v>101</v>
      </c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5"/>
    </row>
    <row r="65" spans="2:26" ht="12.75">
      <c r="B65" s="52"/>
      <c r="C65" s="232" t="s">
        <v>33</v>
      </c>
      <c r="D65" s="233" t="s">
        <v>8</v>
      </c>
      <c r="E65" s="42"/>
      <c r="F65" s="42"/>
      <c r="G65" s="42"/>
      <c r="H65" s="42"/>
      <c r="I65" s="232" t="s">
        <v>34</v>
      </c>
      <c r="J65" s="42"/>
      <c r="K65" s="233" t="s">
        <v>8</v>
      </c>
      <c r="L65" s="42"/>
      <c r="M65" s="234"/>
      <c r="O65" s="256"/>
      <c r="P65" s="257" t="s">
        <v>33</v>
      </c>
      <c r="Q65" s="258" t="s">
        <v>8</v>
      </c>
      <c r="R65" s="259"/>
      <c r="S65" s="259"/>
      <c r="T65" s="259"/>
      <c r="U65" s="259"/>
      <c r="V65" s="257"/>
      <c r="W65" s="259"/>
      <c r="X65" s="258"/>
      <c r="Y65" s="259"/>
      <c r="Z65" s="260"/>
    </row>
    <row r="66" spans="2:26" ht="12.75">
      <c r="B66" s="5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234"/>
      <c r="O66" s="256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60"/>
    </row>
    <row r="67" spans="2:26" ht="12.75">
      <c r="B67" s="52"/>
      <c r="C67" s="867" t="s">
        <v>64</v>
      </c>
      <c r="D67" s="46" t="s">
        <v>50</v>
      </c>
      <c r="E67" s="47"/>
      <c r="F67" s="48"/>
      <c r="G67" s="49"/>
      <c r="H67" s="42"/>
      <c r="I67" s="867" t="s">
        <v>64</v>
      </c>
      <c r="J67" s="50" t="s">
        <v>50</v>
      </c>
      <c r="K67" s="39"/>
      <c r="L67" s="39"/>
      <c r="M67" s="234"/>
      <c r="O67" s="256"/>
      <c r="P67" s="861" t="s">
        <v>64</v>
      </c>
      <c r="Q67" s="284" t="s">
        <v>50</v>
      </c>
      <c r="R67" s="285"/>
      <c r="S67" s="272"/>
      <c r="T67" s="271"/>
      <c r="U67" s="259"/>
      <c r="V67" s="874"/>
      <c r="W67" s="286"/>
      <c r="X67" s="286"/>
      <c r="Y67" s="286"/>
      <c r="Z67" s="260"/>
    </row>
    <row r="68" spans="2:26" ht="12.75">
      <c r="B68" s="52"/>
      <c r="C68" s="869"/>
      <c r="D68" s="75">
        <v>0.2</v>
      </c>
      <c r="E68" s="52"/>
      <c r="F68" s="42"/>
      <c r="G68" s="42"/>
      <c r="H68" s="42"/>
      <c r="I68" s="869"/>
      <c r="J68" s="85">
        <v>0.3</v>
      </c>
      <c r="K68" s="42"/>
      <c r="L68" s="42"/>
      <c r="M68" s="234"/>
      <c r="O68" s="256"/>
      <c r="P68" s="863"/>
      <c r="Q68" s="75">
        <v>0.4</v>
      </c>
      <c r="R68" s="256"/>
      <c r="S68" s="259"/>
      <c r="T68" s="259"/>
      <c r="U68" s="259"/>
      <c r="V68" s="874"/>
      <c r="W68" s="259"/>
      <c r="X68" s="259"/>
      <c r="Y68" s="259"/>
      <c r="Z68" s="260"/>
    </row>
    <row r="69" spans="2:26" ht="12.75">
      <c r="B69" s="52"/>
      <c r="C69" s="43" t="s">
        <v>95</v>
      </c>
      <c r="D69" s="77">
        <v>0.185</v>
      </c>
      <c r="E69" s="53"/>
      <c r="F69" s="54"/>
      <c r="G69" s="54"/>
      <c r="H69" s="42"/>
      <c r="I69" s="43" t="s">
        <v>31</v>
      </c>
      <c r="J69" s="73">
        <v>0.195</v>
      </c>
      <c r="K69" s="54"/>
      <c r="L69" s="54"/>
      <c r="M69" s="234"/>
      <c r="O69" s="256"/>
      <c r="P69" s="265" t="s">
        <v>95</v>
      </c>
      <c r="Q69" s="77">
        <v>0.165</v>
      </c>
      <c r="R69" s="287"/>
      <c r="S69" s="267"/>
      <c r="T69" s="267"/>
      <c r="U69" s="259"/>
      <c r="V69" s="269"/>
      <c r="W69" s="259"/>
      <c r="X69" s="267"/>
      <c r="Y69" s="267"/>
      <c r="Z69" s="260"/>
    </row>
    <row r="70" spans="2:26" ht="12.75">
      <c r="B70" s="52"/>
      <c r="C70" s="43" t="s">
        <v>96</v>
      </c>
      <c r="D70" s="78">
        <v>0.195</v>
      </c>
      <c r="E70" s="53"/>
      <c r="F70" s="54"/>
      <c r="G70" s="54"/>
      <c r="H70" s="42"/>
      <c r="I70" s="56"/>
      <c r="J70" s="54"/>
      <c r="K70" s="42"/>
      <c r="L70" s="42"/>
      <c r="M70" s="234"/>
      <c r="O70" s="256"/>
      <c r="P70" s="265" t="s">
        <v>96</v>
      </c>
      <c r="Q70" s="73">
        <v>0.175</v>
      </c>
      <c r="R70" s="259"/>
      <c r="S70" s="267"/>
      <c r="T70" s="267"/>
      <c r="U70" s="259"/>
      <c r="V70" s="269"/>
      <c r="W70" s="259"/>
      <c r="X70" s="259"/>
      <c r="Y70" s="259"/>
      <c r="Z70" s="260"/>
    </row>
    <row r="71" spans="2:26" ht="12.75">
      <c r="B71" s="52"/>
      <c r="C71" s="56"/>
      <c r="D71" s="42"/>
      <c r="E71" s="42"/>
      <c r="F71" s="42"/>
      <c r="G71" s="42"/>
      <c r="H71" s="42"/>
      <c r="I71" s="42"/>
      <c r="J71" s="42"/>
      <c r="K71" s="42"/>
      <c r="L71" s="42"/>
      <c r="M71" s="234"/>
      <c r="O71" s="256"/>
      <c r="P71" s="269"/>
      <c r="Q71" s="259"/>
      <c r="R71" s="259"/>
      <c r="S71" s="259"/>
      <c r="T71" s="259"/>
      <c r="U71" s="259"/>
      <c r="V71" s="259"/>
      <c r="W71" s="259"/>
      <c r="X71" s="259"/>
      <c r="Y71" s="259"/>
      <c r="Z71" s="260"/>
    </row>
    <row r="72" spans="2:26" ht="12.75">
      <c r="B72" s="52"/>
      <c r="C72" s="232" t="s">
        <v>33</v>
      </c>
      <c r="D72" s="233" t="s">
        <v>32</v>
      </c>
      <c r="E72" s="42"/>
      <c r="F72" s="42"/>
      <c r="G72" s="42"/>
      <c r="H72" s="42"/>
      <c r="I72" s="232" t="s">
        <v>34</v>
      </c>
      <c r="J72" s="42"/>
      <c r="K72" s="233" t="s">
        <v>32</v>
      </c>
      <c r="L72" s="42"/>
      <c r="M72" s="234"/>
      <c r="O72" s="256"/>
      <c r="P72" s="257" t="s">
        <v>33</v>
      </c>
      <c r="Q72" s="258" t="s">
        <v>32</v>
      </c>
      <c r="R72" s="259"/>
      <c r="S72" s="259"/>
      <c r="T72" s="259"/>
      <c r="U72" s="259"/>
      <c r="V72" s="257"/>
      <c r="W72" s="259"/>
      <c r="X72" s="258"/>
      <c r="Y72" s="259"/>
      <c r="Z72" s="260"/>
    </row>
    <row r="73" spans="2:26" ht="12.75">
      <c r="B73" s="5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234"/>
      <c r="O73" s="256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60"/>
    </row>
    <row r="74" spans="2:26" ht="12.75">
      <c r="B74" s="52"/>
      <c r="C74" s="867" t="s">
        <v>64</v>
      </c>
      <c r="D74" s="50" t="s">
        <v>50</v>
      </c>
      <c r="E74" s="39"/>
      <c r="F74" s="872"/>
      <c r="G74" s="872"/>
      <c r="H74" s="42"/>
      <c r="I74" s="867" t="s">
        <v>64</v>
      </c>
      <c r="J74" s="50" t="s">
        <v>50</v>
      </c>
      <c r="K74" s="39"/>
      <c r="L74" s="39"/>
      <c r="M74" s="234"/>
      <c r="O74" s="256"/>
      <c r="P74" s="861" t="s">
        <v>64</v>
      </c>
      <c r="Q74" s="288" t="s">
        <v>50</v>
      </c>
      <c r="R74" s="286"/>
      <c r="S74" s="875"/>
      <c r="T74" s="875"/>
      <c r="U74" s="259"/>
      <c r="V74" s="874"/>
      <c r="W74" s="259"/>
      <c r="X74" s="286"/>
      <c r="Y74" s="286"/>
      <c r="Z74" s="260"/>
    </row>
    <row r="75" spans="2:26" ht="12.75">
      <c r="B75" s="52"/>
      <c r="C75" s="869"/>
      <c r="D75" s="41">
        <f>D68</f>
        <v>0.2</v>
      </c>
      <c r="E75" s="42"/>
      <c r="F75" s="42"/>
      <c r="G75" s="42"/>
      <c r="H75" s="42"/>
      <c r="I75" s="869"/>
      <c r="J75" s="41">
        <f>J68</f>
        <v>0.3</v>
      </c>
      <c r="K75" s="42"/>
      <c r="L75" s="42"/>
      <c r="M75" s="234"/>
      <c r="O75" s="256"/>
      <c r="P75" s="863"/>
      <c r="Q75" s="289">
        <f>Q68</f>
        <v>0.4</v>
      </c>
      <c r="R75" s="259"/>
      <c r="S75" s="259"/>
      <c r="T75" s="259"/>
      <c r="U75" s="259"/>
      <c r="V75" s="874"/>
      <c r="W75" s="259"/>
      <c r="X75" s="259"/>
      <c r="Y75" s="259"/>
      <c r="Z75" s="260"/>
    </row>
    <row r="76" spans="2:26" ht="12.75">
      <c r="B76" s="52"/>
      <c r="C76" s="43" t="s">
        <v>95</v>
      </c>
      <c r="D76" s="79">
        <v>0.175</v>
      </c>
      <c r="E76" s="54"/>
      <c r="F76" s="54"/>
      <c r="G76" s="54"/>
      <c r="H76" s="42"/>
      <c r="I76" s="43" t="s">
        <v>31</v>
      </c>
      <c r="J76" s="73">
        <v>0.185</v>
      </c>
      <c r="K76" s="54"/>
      <c r="L76" s="54"/>
      <c r="M76" s="234"/>
      <c r="O76" s="256"/>
      <c r="P76" s="265" t="s">
        <v>95</v>
      </c>
      <c r="Q76" s="79">
        <v>0.155</v>
      </c>
      <c r="R76" s="267"/>
      <c r="S76" s="267"/>
      <c r="T76" s="267"/>
      <c r="U76" s="259"/>
      <c r="V76" s="269"/>
      <c r="W76" s="259"/>
      <c r="X76" s="267"/>
      <c r="Y76" s="267"/>
      <c r="Z76" s="260"/>
    </row>
    <row r="77" spans="2:26" ht="12.75" customHeight="1">
      <c r="B77" s="52"/>
      <c r="C77" s="43" t="s">
        <v>96</v>
      </c>
      <c r="D77" s="73">
        <v>0.185</v>
      </c>
      <c r="E77" s="54"/>
      <c r="F77" s="54"/>
      <c r="G77" s="54"/>
      <c r="H77" s="42"/>
      <c r="I77" s="42"/>
      <c r="J77" s="42"/>
      <c r="K77" s="42"/>
      <c r="L77" s="42"/>
      <c r="M77" s="234"/>
      <c r="O77" s="256"/>
      <c r="P77" s="265" t="s">
        <v>96</v>
      </c>
      <c r="Q77" s="73">
        <v>0.165</v>
      </c>
      <c r="R77" s="267"/>
      <c r="S77" s="267"/>
      <c r="T77" s="267"/>
      <c r="U77" s="259"/>
      <c r="V77" s="259"/>
      <c r="W77" s="259"/>
      <c r="X77" s="259"/>
      <c r="Y77" s="259"/>
      <c r="Z77" s="260"/>
    </row>
    <row r="78" spans="2:26" ht="12.75" customHeight="1">
      <c r="B78" s="52"/>
      <c r="C78" s="56"/>
      <c r="D78" s="42"/>
      <c r="E78" s="42"/>
      <c r="F78" s="42"/>
      <c r="G78" s="42"/>
      <c r="H78" s="42"/>
      <c r="I78" s="42"/>
      <c r="J78" s="42"/>
      <c r="K78" s="42"/>
      <c r="L78" s="42"/>
      <c r="M78" s="234"/>
      <c r="O78" s="256"/>
      <c r="P78" s="269"/>
      <c r="Q78" s="259"/>
      <c r="R78" s="259"/>
      <c r="S78" s="259"/>
      <c r="T78" s="259"/>
      <c r="U78" s="259"/>
      <c r="V78" s="259"/>
      <c r="W78" s="259"/>
      <c r="X78" s="259"/>
      <c r="Y78" s="259"/>
      <c r="Z78" s="260"/>
    </row>
    <row r="79" spans="2:26" ht="12.75">
      <c r="B79" s="52"/>
      <c r="C79" s="42"/>
      <c r="D79" s="42"/>
      <c r="E79" s="42"/>
      <c r="F79" s="42"/>
      <c r="G79" s="42"/>
      <c r="H79" s="42"/>
      <c r="I79" s="42"/>
      <c r="J79" s="42"/>
      <c r="K79" s="42"/>
      <c r="L79" s="235"/>
      <c r="M79" s="234"/>
      <c r="O79" s="256"/>
      <c r="P79" s="257" t="s">
        <v>92</v>
      </c>
      <c r="Q79" s="278"/>
      <c r="R79" s="278"/>
      <c r="S79" s="278"/>
      <c r="T79" s="259"/>
      <c r="U79" s="278"/>
      <c r="V79" s="257" t="s">
        <v>100</v>
      </c>
      <c r="W79" s="278"/>
      <c r="X79" s="278"/>
      <c r="Y79" s="278"/>
      <c r="Z79" s="260"/>
    </row>
    <row r="80" spans="2:26" ht="12.75">
      <c r="B80" s="52"/>
      <c r="C80" s="232" t="s">
        <v>92</v>
      </c>
      <c r="D80" s="42"/>
      <c r="E80" s="42"/>
      <c r="F80" s="42"/>
      <c r="G80" s="42" t="s">
        <v>30</v>
      </c>
      <c r="H80" s="42"/>
      <c r="I80" s="42"/>
      <c r="J80" s="42"/>
      <c r="K80" s="42"/>
      <c r="L80" s="74">
        <v>100000</v>
      </c>
      <c r="M80" s="234"/>
      <c r="O80" s="256"/>
      <c r="P80" s="259" t="s">
        <v>30</v>
      </c>
      <c r="Q80" s="259"/>
      <c r="R80" s="259"/>
      <c r="S80" s="74">
        <v>100000</v>
      </c>
      <c r="T80" s="259"/>
      <c r="U80" s="259"/>
      <c r="V80" s="259" t="s">
        <v>30</v>
      </c>
      <c r="W80" s="259"/>
      <c r="X80" s="259"/>
      <c r="Y80" s="74">
        <v>1500000</v>
      </c>
      <c r="Z80" s="260"/>
    </row>
    <row r="81" spans="2:26" ht="12.75">
      <c r="B81" s="52"/>
      <c r="C81" s="42"/>
      <c r="D81" s="42"/>
      <c r="E81" s="42"/>
      <c r="F81" s="42"/>
      <c r="G81" s="42" t="s">
        <v>35</v>
      </c>
      <c r="H81" s="42"/>
      <c r="I81" s="42"/>
      <c r="J81" s="42"/>
      <c r="K81" s="42"/>
      <c r="L81" s="74">
        <v>3000</v>
      </c>
      <c r="M81" s="234"/>
      <c r="O81" s="256"/>
      <c r="P81" s="259" t="s">
        <v>99</v>
      </c>
      <c r="Q81" s="259"/>
      <c r="R81" s="259"/>
      <c r="S81" s="492">
        <f>ROUND(S80/$S$110,4)</f>
        <v>3338.8982</v>
      </c>
      <c r="T81" s="259"/>
      <c r="U81" s="259"/>
      <c r="V81" s="259" t="s">
        <v>99</v>
      </c>
      <c r="W81" s="259"/>
      <c r="X81" s="276"/>
      <c r="Y81" s="492">
        <f>ROUND(Y80/$S$110,4)</f>
        <v>50083.4725</v>
      </c>
      <c r="Z81" s="260"/>
    </row>
    <row r="82" spans="2:26" ht="12.75">
      <c r="B82" s="52"/>
      <c r="C82" s="42"/>
      <c r="D82" s="42"/>
      <c r="E82" s="42"/>
      <c r="F82" s="42"/>
      <c r="G82" s="42" t="s">
        <v>36</v>
      </c>
      <c r="H82" s="42"/>
      <c r="I82" s="42"/>
      <c r="J82" s="42"/>
      <c r="K82" s="42"/>
      <c r="L82" s="74">
        <v>2700</v>
      </c>
      <c r="M82" s="234"/>
      <c r="O82" s="256"/>
      <c r="P82" s="259" t="s">
        <v>36</v>
      </c>
      <c r="Q82" s="259"/>
      <c r="R82" s="259"/>
      <c r="S82" s="492">
        <f>ROUND(S80/$S$111,4)</f>
        <v>2491.9013</v>
      </c>
      <c r="T82" s="259"/>
      <c r="U82" s="259"/>
      <c r="V82" s="259" t="s">
        <v>36</v>
      </c>
      <c r="W82" s="259"/>
      <c r="X82" s="276"/>
      <c r="Y82" s="492">
        <f>ROUND(Y80/$S$111,4)</f>
        <v>37378.5198</v>
      </c>
      <c r="Z82" s="260"/>
    </row>
    <row r="83" spans="2:26" ht="12.75">
      <c r="B83" s="236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8"/>
      <c r="O83" s="273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5"/>
    </row>
    <row r="84" spans="2:26" s="503" customFormat="1" ht="12.7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2:26" ht="12.75">
      <c r="B85" s="240" t="s">
        <v>68</v>
      </c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41"/>
      <c r="O85" s="253" t="s">
        <v>102</v>
      </c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5"/>
    </row>
    <row r="86" spans="2:26" ht="12.75">
      <c r="B86" s="52"/>
      <c r="C86" s="232" t="s">
        <v>33</v>
      </c>
      <c r="D86" s="233" t="s">
        <v>8</v>
      </c>
      <c r="E86" s="42"/>
      <c r="F86" s="42"/>
      <c r="G86" s="42"/>
      <c r="H86" s="42"/>
      <c r="I86" s="232" t="s">
        <v>34</v>
      </c>
      <c r="J86" s="42"/>
      <c r="K86" s="233" t="s">
        <v>8</v>
      </c>
      <c r="L86" s="42"/>
      <c r="M86" s="234"/>
      <c r="O86" s="256"/>
      <c r="P86" s="257" t="s">
        <v>33</v>
      </c>
      <c r="Q86" s="258" t="s">
        <v>8</v>
      </c>
      <c r="R86" s="259"/>
      <c r="S86" s="259"/>
      <c r="T86" s="259"/>
      <c r="U86" s="259"/>
      <c r="V86" s="257"/>
      <c r="W86" s="259"/>
      <c r="X86" s="258"/>
      <c r="Y86" s="259"/>
      <c r="Z86" s="260"/>
    </row>
    <row r="87" spans="2:26" ht="12.75">
      <c r="B87" s="5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234"/>
      <c r="O87" s="256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60"/>
    </row>
    <row r="88" spans="2:26" ht="12.75">
      <c r="B88" s="52"/>
      <c r="C88" s="867" t="s">
        <v>64</v>
      </c>
      <c r="D88" s="46" t="s">
        <v>50</v>
      </c>
      <c r="E88" s="50" t="s">
        <v>50</v>
      </c>
      <c r="F88" s="48"/>
      <c r="G88" s="49"/>
      <c r="H88" s="42"/>
      <c r="I88" s="867" t="s">
        <v>64</v>
      </c>
      <c r="J88" s="50" t="s">
        <v>50</v>
      </c>
      <c r="K88" s="39"/>
      <c r="L88" s="39"/>
      <c r="M88" s="234"/>
      <c r="O88" s="256"/>
      <c r="P88" s="861" t="s">
        <v>64</v>
      </c>
      <c r="Q88" s="400" t="s">
        <v>50</v>
      </c>
      <c r="R88" s="267"/>
      <c r="S88" s="272"/>
      <c r="T88" s="271"/>
      <c r="U88" s="259"/>
      <c r="V88" s="259"/>
      <c r="W88" s="259"/>
      <c r="X88" s="259"/>
      <c r="Y88" s="259"/>
      <c r="Z88" s="260"/>
    </row>
    <row r="89" spans="2:26" ht="12.75">
      <c r="B89" s="52"/>
      <c r="C89" s="869"/>
      <c r="D89" s="75">
        <v>0.2</v>
      </c>
      <c r="E89" s="76">
        <v>0.2</v>
      </c>
      <c r="F89" s="42"/>
      <c r="G89" s="42"/>
      <c r="H89" s="42"/>
      <c r="I89" s="869"/>
      <c r="J89" s="85">
        <v>0.3</v>
      </c>
      <c r="K89" s="42"/>
      <c r="L89" s="42"/>
      <c r="M89" s="234"/>
      <c r="O89" s="256"/>
      <c r="P89" s="863"/>
      <c r="Q89" s="401">
        <v>0.4</v>
      </c>
      <c r="R89" s="267"/>
      <c r="S89" s="259"/>
      <c r="T89" s="259"/>
      <c r="U89" s="259"/>
      <c r="V89" s="259"/>
      <c r="W89" s="259"/>
      <c r="X89" s="259"/>
      <c r="Y89" s="259"/>
      <c r="Z89" s="260"/>
    </row>
    <row r="90" spans="2:26" ht="12.75">
      <c r="B90" s="52"/>
      <c r="C90" s="43" t="s">
        <v>95</v>
      </c>
      <c r="D90" s="77">
        <v>0.185</v>
      </c>
      <c r="E90" s="57" t="s">
        <v>29</v>
      </c>
      <c r="F90" s="54"/>
      <c r="G90" s="54"/>
      <c r="H90" s="42"/>
      <c r="I90" s="43" t="s">
        <v>31</v>
      </c>
      <c r="J90" s="73">
        <v>0.195</v>
      </c>
      <c r="K90" s="54"/>
      <c r="L90" s="54"/>
      <c r="M90" s="234"/>
      <c r="O90" s="256"/>
      <c r="P90" s="265" t="s">
        <v>95</v>
      </c>
      <c r="Q90" s="73">
        <v>0.165</v>
      </c>
      <c r="R90" s="267"/>
      <c r="S90" s="267"/>
      <c r="T90" s="267"/>
      <c r="U90" s="259"/>
      <c r="V90" s="259"/>
      <c r="W90" s="259"/>
      <c r="X90" s="259"/>
      <c r="Y90" s="259"/>
      <c r="Z90" s="260"/>
    </row>
    <row r="91" spans="2:26" ht="12.75">
      <c r="B91" s="52"/>
      <c r="C91" s="43" t="s">
        <v>96</v>
      </c>
      <c r="D91" s="55" t="s">
        <v>29</v>
      </c>
      <c r="E91" s="73">
        <v>0.195</v>
      </c>
      <c r="F91" s="54"/>
      <c r="G91" s="54"/>
      <c r="H91" s="42"/>
      <c r="I91" s="56"/>
      <c r="J91" s="54"/>
      <c r="K91" s="42"/>
      <c r="L91" s="42"/>
      <c r="M91" s="234"/>
      <c r="O91" s="256"/>
      <c r="P91" s="265" t="s">
        <v>96</v>
      </c>
      <c r="Q91" s="73">
        <v>0.175</v>
      </c>
      <c r="R91" s="259"/>
      <c r="S91" s="267"/>
      <c r="T91" s="267"/>
      <c r="U91" s="259"/>
      <c r="V91" s="259"/>
      <c r="W91" s="259"/>
      <c r="X91" s="259"/>
      <c r="Y91" s="259"/>
      <c r="Z91" s="260"/>
    </row>
    <row r="92" spans="2:26" ht="12.75">
      <c r="B92" s="52"/>
      <c r="C92" s="56"/>
      <c r="D92" s="42"/>
      <c r="E92" s="42"/>
      <c r="F92" s="42"/>
      <c r="G92" s="42"/>
      <c r="H92" s="42"/>
      <c r="I92" s="42"/>
      <c r="J92" s="42"/>
      <c r="K92" s="42"/>
      <c r="L92" s="42"/>
      <c r="M92" s="234"/>
      <c r="O92" s="256"/>
      <c r="P92" s="269"/>
      <c r="Q92" s="259"/>
      <c r="R92" s="259"/>
      <c r="S92" s="259"/>
      <c r="T92" s="259"/>
      <c r="U92" s="259"/>
      <c r="V92" s="259"/>
      <c r="W92" s="259"/>
      <c r="X92" s="259"/>
      <c r="Y92" s="259"/>
      <c r="Z92" s="260"/>
    </row>
    <row r="93" spans="2:26" ht="12.75">
      <c r="B93" s="52"/>
      <c r="C93" s="232" t="s">
        <v>33</v>
      </c>
      <c r="D93" s="233" t="s">
        <v>32</v>
      </c>
      <c r="E93" s="42"/>
      <c r="F93" s="42"/>
      <c r="G93" s="42"/>
      <c r="H93" s="42"/>
      <c r="I93" s="232" t="s">
        <v>34</v>
      </c>
      <c r="J93" s="42"/>
      <c r="K93" s="233" t="s">
        <v>32</v>
      </c>
      <c r="L93" s="42"/>
      <c r="M93" s="234"/>
      <c r="O93" s="256"/>
      <c r="P93" s="257" t="s">
        <v>33</v>
      </c>
      <c r="Q93" s="258" t="s">
        <v>32</v>
      </c>
      <c r="R93" s="259"/>
      <c r="S93" s="259"/>
      <c r="T93" s="259"/>
      <c r="U93" s="259"/>
      <c r="V93" s="259"/>
      <c r="W93" s="259"/>
      <c r="X93" s="259"/>
      <c r="Y93" s="259"/>
      <c r="Z93" s="260"/>
    </row>
    <row r="94" spans="2:26" ht="12.75">
      <c r="B94" s="5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234"/>
      <c r="O94" s="256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60"/>
    </row>
    <row r="95" spans="2:26" ht="12.75" customHeight="1">
      <c r="B95" s="52"/>
      <c r="C95" s="867" t="s">
        <v>64</v>
      </c>
      <c r="D95" s="46" t="s">
        <v>50</v>
      </c>
      <c r="E95" s="50" t="s">
        <v>50</v>
      </c>
      <c r="F95" s="872"/>
      <c r="G95" s="872"/>
      <c r="H95" s="42"/>
      <c r="I95" s="867" t="s">
        <v>64</v>
      </c>
      <c r="J95" s="50" t="s">
        <v>50</v>
      </c>
      <c r="K95" s="39"/>
      <c r="L95" s="39"/>
      <c r="M95" s="234"/>
      <c r="O95" s="256"/>
      <c r="P95" s="861" t="s">
        <v>64</v>
      </c>
      <c r="Q95" s="400" t="s">
        <v>50</v>
      </c>
      <c r="R95" s="267"/>
      <c r="S95" s="875"/>
      <c r="T95" s="875"/>
      <c r="U95" s="259"/>
      <c r="V95" s="259"/>
      <c r="W95" s="259"/>
      <c r="X95" s="259"/>
      <c r="Y95" s="259"/>
      <c r="Z95" s="260"/>
    </row>
    <row r="96" spans="2:26" ht="12.75">
      <c r="B96" s="52"/>
      <c r="C96" s="869"/>
      <c r="D96" s="51">
        <f>D89</f>
        <v>0.2</v>
      </c>
      <c r="E96" s="41">
        <f>E89</f>
        <v>0.2</v>
      </c>
      <c r="F96" s="42"/>
      <c r="G96" s="42"/>
      <c r="H96" s="42"/>
      <c r="I96" s="869"/>
      <c r="J96" s="41">
        <f>J89</f>
        <v>0.3</v>
      </c>
      <c r="K96" s="42"/>
      <c r="L96" s="42"/>
      <c r="M96" s="234"/>
      <c r="O96" s="256"/>
      <c r="P96" s="863"/>
      <c r="Q96" s="402">
        <f>Q89</f>
        <v>0.4</v>
      </c>
      <c r="R96" s="267"/>
      <c r="S96" s="259"/>
      <c r="T96" s="259"/>
      <c r="U96" s="259"/>
      <c r="V96" s="259"/>
      <c r="W96" s="259"/>
      <c r="X96" s="259"/>
      <c r="Y96" s="259"/>
      <c r="Z96" s="260"/>
    </row>
    <row r="97" spans="2:26" ht="12.75">
      <c r="B97" s="52"/>
      <c r="C97" s="43" t="s">
        <v>95</v>
      </c>
      <c r="D97" s="77">
        <v>0.175</v>
      </c>
      <c r="E97" s="57" t="s">
        <v>29</v>
      </c>
      <c r="F97" s="54"/>
      <c r="G97" s="54"/>
      <c r="H97" s="42"/>
      <c r="I97" s="43" t="s">
        <v>31</v>
      </c>
      <c r="J97" s="73">
        <v>0.185</v>
      </c>
      <c r="K97" s="54"/>
      <c r="L97" s="54"/>
      <c r="M97" s="234"/>
      <c r="O97" s="256"/>
      <c r="P97" s="265" t="s">
        <v>95</v>
      </c>
      <c r="Q97" s="73">
        <v>0.155</v>
      </c>
      <c r="R97" s="267"/>
      <c r="S97" s="267"/>
      <c r="T97" s="267"/>
      <c r="U97" s="259"/>
      <c r="V97" s="259"/>
      <c r="W97" s="259"/>
      <c r="X97" s="259"/>
      <c r="Y97" s="259"/>
      <c r="Z97" s="260"/>
    </row>
    <row r="98" spans="2:26" ht="12.75">
      <c r="B98" s="52"/>
      <c r="C98" s="43" t="s">
        <v>96</v>
      </c>
      <c r="D98" s="55" t="s">
        <v>29</v>
      </c>
      <c r="E98" s="73">
        <v>0.185</v>
      </c>
      <c r="F98" s="54"/>
      <c r="G98" s="54"/>
      <c r="H98" s="42"/>
      <c r="I98" s="42"/>
      <c r="J98" s="42"/>
      <c r="K98" s="42"/>
      <c r="L98" s="42"/>
      <c r="M98" s="234"/>
      <c r="O98" s="256"/>
      <c r="P98" s="265" t="s">
        <v>96</v>
      </c>
      <c r="Q98" s="73">
        <v>0.165</v>
      </c>
      <c r="R98" s="267"/>
      <c r="S98" s="267"/>
      <c r="T98" s="267"/>
      <c r="U98" s="259"/>
      <c r="V98" s="259"/>
      <c r="W98" s="259"/>
      <c r="X98" s="259"/>
      <c r="Y98" s="259"/>
      <c r="Z98" s="260"/>
    </row>
    <row r="99" spans="2:26" ht="12.75">
      <c r="B99" s="52"/>
      <c r="C99" s="56"/>
      <c r="D99" s="42"/>
      <c r="E99" s="42"/>
      <c r="F99" s="42"/>
      <c r="G99" s="42"/>
      <c r="H99" s="42"/>
      <c r="I99" s="42"/>
      <c r="J99" s="42"/>
      <c r="K99" s="42"/>
      <c r="L99" s="42"/>
      <c r="M99" s="234"/>
      <c r="O99" s="256"/>
      <c r="P99" s="269"/>
      <c r="Q99" s="259"/>
      <c r="R99" s="259"/>
      <c r="S99" s="259"/>
      <c r="T99" s="259"/>
      <c r="U99" s="259"/>
      <c r="V99" s="259"/>
      <c r="W99" s="259"/>
      <c r="X99" s="259"/>
      <c r="Y99" s="259"/>
      <c r="Z99" s="260"/>
    </row>
    <row r="100" spans="2:26" ht="12.75">
      <c r="B100" s="52"/>
      <c r="C100" s="42"/>
      <c r="D100" s="42"/>
      <c r="E100" s="42"/>
      <c r="F100" s="42"/>
      <c r="G100" s="42"/>
      <c r="H100" s="42"/>
      <c r="I100" s="42"/>
      <c r="J100" s="42"/>
      <c r="K100" s="42"/>
      <c r="L100" s="235"/>
      <c r="M100" s="234"/>
      <c r="O100" s="256"/>
      <c r="P100" s="257" t="s">
        <v>92</v>
      </c>
      <c r="Q100" s="259"/>
      <c r="R100" s="259"/>
      <c r="S100" s="259"/>
      <c r="T100" s="259"/>
      <c r="U100" s="259"/>
      <c r="V100" s="257" t="s">
        <v>100</v>
      </c>
      <c r="W100" s="278"/>
      <c r="X100" s="278"/>
      <c r="Y100" s="278"/>
      <c r="Z100" s="260"/>
    </row>
    <row r="101" spans="2:26" ht="12.75">
      <c r="B101" s="52"/>
      <c r="C101" s="232" t="s">
        <v>92</v>
      </c>
      <c r="D101" s="42"/>
      <c r="E101" s="42"/>
      <c r="F101" s="42"/>
      <c r="G101" s="42" t="s">
        <v>30</v>
      </c>
      <c r="H101" s="42"/>
      <c r="I101" s="42"/>
      <c r="J101" s="42"/>
      <c r="K101" s="42"/>
      <c r="L101" s="74">
        <v>30000</v>
      </c>
      <c r="M101" s="234"/>
      <c r="O101" s="256"/>
      <c r="P101" s="259" t="s">
        <v>30</v>
      </c>
      <c r="Q101" s="259"/>
      <c r="R101" s="259"/>
      <c r="S101" s="74">
        <v>100000</v>
      </c>
      <c r="T101" s="276"/>
      <c r="U101" s="259"/>
      <c r="V101" s="259" t="s">
        <v>30</v>
      </c>
      <c r="W101" s="259"/>
      <c r="X101" s="259"/>
      <c r="Y101" s="74">
        <v>1500000</v>
      </c>
      <c r="Z101" s="260"/>
    </row>
    <row r="102" spans="2:26" ht="12.75">
      <c r="B102" s="52"/>
      <c r="C102" s="42"/>
      <c r="D102" s="42"/>
      <c r="E102" s="42"/>
      <c r="F102" s="42"/>
      <c r="G102" s="42" t="s">
        <v>35</v>
      </c>
      <c r="H102" s="42"/>
      <c r="I102" s="42"/>
      <c r="J102" s="42"/>
      <c r="K102" s="42"/>
      <c r="L102" s="74">
        <v>1000</v>
      </c>
      <c r="M102" s="234"/>
      <c r="O102" s="256"/>
      <c r="P102" s="259" t="s">
        <v>99</v>
      </c>
      <c r="Q102" s="259"/>
      <c r="R102" s="259"/>
      <c r="S102" s="492">
        <f>ROUND(S101/$S$110,4)</f>
        <v>3338.8982</v>
      </c>
      <c r="T102" s="276"/>
      <c r="U102" s="259"/>
      <c r="V102" s="259" t="s">
        <v>99</v>
      </c>
      <c r="W102" s="259"/>
      <c r="X102" s="276"/>
      <c r="Y102" s="492">
        <f>ROUND(Y101/$S$110,4)</f>
        <v>50083.4725</v>
      </c>
      <c r="Z102" s="260"/>
    </row>
    <row r="103" spans="2:26" ht="12.75">
      <c r="B103" s="52"/>
      <c r="C103" s="42"/>
      <c r="D103" s="42"/>
      <c r="E103" s="42"/>
      <c r="F103" s="42"/>
      <c r="G103" s="42" t="s">
        <v>36</v>
      </c>
      <c r="H103" s="42"/>
      <c r="I103" s="42"/>
      <c r="J103" s="42"/>
      <c r="K103" s="42"/>
      <c r="L103" s="74">
        <v>800</v>
      </c>
      <c r="M103" s="234"/>
      <c r="O103" s="256"/>
      <c r="P103" s="259" t="s">
        <v>36</v>
      </c>
      <c r="Q103" s="259"/>
      <c r="R103" s="259"/>
      <c r="S103" s="492">
        <f>ROUND(S101/$S$111,4)</f>
        <v>2491.9013</v>
      </c>
      <c r="T103" s="276"/>
      <c r="U103" s="259"/>
      <c r="V103" s="259" t="s">
        <v>36</v>
      </c>
      <c r="W103" s="259"/>
      <c r="X103" s="276"/>
      <c r="Y103" s="492">
        <f>ROUND(Y101/$S$111,4)</f>
        <v>37378.5198</v>
      </c>
      <c r="Z103" s="260"/>
    </row>
    <row r="104" spans="2:26" ht="12.75">
      <c r="B104" s="236"/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8"/>
      <c r="O104" s="273"/>
      <c r="P104" s="274"/>
      <c r="Q104" s="274"/>
      <c r="R104" s="274"/>
      <c r="S104" s="274"/>
      <c r="T104" s="274"/>
      <c r="U104" s="274"/>
      <c r="V104" s="274"/>
      <c r="W104" s="274"/>
      <c r="X104" s="274"/>
      <c r="Y104" s="274"/>
      <c r="Z104" s="275"/>
    </row>
    <row r="106" spans="2:24" ht="12.75">
      <c r="B106" s="240" t="s">
        <v>225</v>
      </c>
      <c r="C106" s="239"/>
      <c r="D106" s="239"/>
      <c r="E106" s="239"/>
      <c r="F106" s="239"/>
      <c r="G106" s="239"/>
      <c r="H106" s="239"/>
      <c r="I106" s="239"/>
      <c r="J106" s="737" t="s">
        <v>226</v>
      </c>
      <c r="K106" s="239"/>
      <c r="L106" s="239"/>
      <c r="M106" s="241"/>
      <c r="O106" s="381"/>
      <c r="P106" s="382"/>
      <c r="Q106" s="382"/>
      <c r="R106" s="382"/>
      <c r="S106" s="382"/>
      <c r="T106" s="382"/>
      <c r="U106" s="382"/>
      <c r="V106" s="382"/>
      <c r="W106" s="382"/>
      <c r="X106" s="383"/>
    </row>
    <row r="107" spans="2:24" ht="12.75">
      <c r="B107" s="5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234"/>
      <c r="O107" s="384"/>
      <c r="P107" s="385"/>
      <c r="Q107" s="385"/>
      <c r="R107" s="385"/>
      <c r="S107" s="385"/>
      <c r="T107" s="385"/>
      <c r="U107" s="385"/>
      <c r="V107" s="385"/>
      <c r="W107" s="385"/>
      <c r="X107" s="386"/>
    </row>
    <row r="108" spans="2:24" ht="12.75">
      <c r="B108" s="52"/>
      <c r="C108" s="56"/>
      <c r="D108" s="738"/>
      <c r="E108" s="54"/>
      <c r="F108" s="42"/>
      <c r="G108" s="42"/>
      <c r="H108" s="42"/>
      <c r="I108" s="42"/>
      <c r="J108" s="42"/>
      <c r="K108" s="42"/>
      <c r="L108" s="42"/>
      <c r="M108" s="234"/>
      <c r="O108" s="384"/>
      <c r="P108" s="387" t="s">
        <v>115</v>
      </c>
      <c r="Q108" s="385"/>
      <c r="R108" s="385"/>
      <c r="S108" s="391">
        <v>0.019</v>
      </c>
      <c r="T108" s="385"/>
      <c r="U108" s="385"/>
      <c r="V108" s="385"/>
      <c r="W108" s="385"/>
      <c r="X108" s="386"/>
    </row>
    <row r="109" spans="2:24" ht="12.75">
      <c r="B109" s="52"/>
      <c r="C109" s="232" t="s">
        <v>33</v>
      </c>
      <c r="D109" s="233" t="s">
        <v>8</v>
      </c>
      <c r="E109" s="42"/>
      <c r="F109" s="42"/>
      <c r="G109" s="42"/>
      <c r="H109" s="42"/>
      <c r="I109" s="42"/>
      <c r="J109" s="232" t="s">
        <v>33</v>
      </c>
      <c r="K109" s="233" t="s">
        <v>8</v>
      </c>
      <c r="L109" s="42"/>
      <c r="M109" s="234"/>
      <c r="O109" s="384"/>
      <c r="P109" s="385"/>
      <c r="Q109" s="385"/>
      <c r="R109" s="385"/>
      <c r="S109" s="385"/>
      <c r="T109" s="385"/>
      <c r="U109" s="385"/>
      <c r="V109" s="385"/>
      <c r="W109" s="385"/>
      <c r="X109" s="386"/>
    </row>
    <row r="110" spans="2:24" ht="12.75">
      <c r="B110" s="5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234"/>
      <c r="O110" s="384"/>
      <c r="P110" s="387" t="s">
        <v>117</v>
      </c>
      <c r="Q110" s="385"/>
      <c r="R110" s="387" t="s">
        <v>118</v>
      </c>
      <c r="S110" s="392">
        <v>29.95</v>
      </c>
      <c r="T110" s="385"/>
      <c r="U110" s="385"/>
      <c r="V110" s="385"/>
      <c r="W110" s="385"/>
      <c r="X110" s="386"/>
    </row>
    <row r="111" spans="2:24" ht="12.75">
      <c r="B111" s="52"/>
      <c r="C111" s="870" t="s">
        <v>64</v>
      </c>
      <c r="D111" s="37" t="s">
        <v>50</v>
      </c>
      <c r="E111" s="72">
        <v>0.15</v>
      </c>
      <c r="F111" s="37" t="s">
        <v>50</v>
      </c>
      <c r="G111" s="72">
        <v>0.3</v>
      </c>
      <c r="H111" s="42"/>
      <c r="I111" s="42"/>
      <c r="J111" s="870" t="s">
        <v>64</v>
      </c>
      <c r="K111" s="739">
        <f>E111</f>
        <v>0.15</v>
      </c>
      <c r="L111" s="42"/>
      <c r="M111" s="234"/>
      <c r="O111" s="384"/>
      <c r="P111" s="387"/>
      <c r="Q111" s="385"/>
      <c r="R111" s="387" t="s">
        <v>36</v>
      </c>
      <c r="S111" s="392">
        <v>40.13</v>
      </c>
      <c r="T111" s="385"/>
      <c r="U111" s="385"/>
      <c r="V111" s="385"/>
      <c r="W111" s="385"/>
      <c r="X111" s="386"/>
    </row>
    <row r="112" spans="2:24" ht="12.75">
      <c r="B112" s="52"/>
      <c r="C112" s="871"/>
      <c r="D112" s="40" t="s">
        <v>28</v>
      </c>
      <c r="E112" s="40" t="s">
        <v>29</v>
      </c>
      <c r="F112" s="40" t="s">
        <v>28</v>
      </c>
      <c r="G112" s="40" t="s">
        <v>29</v>
      </c>
      <c r="H112" s="42"/>
      <c r="I112" s="42"/>
      <c r="J112" s="871"/>
      <c r="K112" s="40" t="s">
        <v>28</v>
      </c>
      <c r="L112" s="42"/>
      <c r="M112" s="234"/>
      <c r="O112" s="384"/>
      <c r="P112" s="385"/>
      <c r="Q112" s="385"/>
      <c r="R112" s="385"/>
      <c r="S112" s="385"/>
      <c r="T112" s="385"/>
      <c r="U112" s="385"/>
      <c r="V112" s="385"/>
      <c r="W112" s="385"/>
      <c r="X112" s="386"/>
    </row>
    <row r="113" spans="2:24" ht="12.75">
      <c r="B113" s="52"/>
      <c r="C113" s="43" t="s">
        <v>31</v>
      </c>
      <c r="D113" s="740">
        <f>D7-'Авто с субсидированием'!F25</f>
        <v>0.09169999999999999</v>
      </c>
      <c r="E113" s="740">
        <f>E7-'Авто с субсидированием'!F25</f>
        <v>0.1017</v>
      </c>
      <c r="F113" s="740">
        <f>F7-'Авто с субсидированием'!F25</f>
        <v>0.08570000000000001</v>
      </c>
      <c r="G113" s="740">
        <f>G7-'Авто с субсидированием'!F25</f>
        <v>0.0957</v>
      </c>
      <c r="H113" s="42"/>
      <c r="I113" s="42"/>
      <c r="J113" s="43" t="s">
        <v>31</v>
      </c>
      <c r="K113" s="740">
        <f>D27-'Авто с субсидированием'!F25</f>
        <v>0.08570000000000001</v>
      </c>
      <c r="L113" s="42"/>
      <c r="M113" s="234"/>
      <c r="O113" s="388"/>
      <c r="P113" s="389"/>
      <c r="Q113" s="389"/>
      <c r="R113" s="389"/>
      <c r="S113" s="389"/>
      <c r="T113" s="389"/>
      <c r="U113" s="389"/>
      <c r="V113" s="389"/>
      <c r="W113" s="389"/>
      <c r="X113" s="390"/>
    </row>
    <row r="114" spans="2:13" ht="12.75">
      <c r="B114" s="52"/>
      <c r="C114" s="43" t="s">
        <v>31</v>
      </c>
      <c r="D114" s="44" t="s">
        <v>29</v>
      </c>
      <c r="E114" s="44" t="s">
        <v>29</v>
      </c>
      <c r="F114" s="740">
        <f>F113</f>
        <v>0.08570000000000001</v>
      </c>
      <c r="G114" s="740">
        <f>G113</f>
        <v>0.0957</v>
      </c>
      <c r="H114" s="42"/>
      <c r="I114" s="42"/>
      <c r="J114" s="42"/>
      <c r="K114" s="42"/>
      <c r="L114" s="42"/>
      <c r="M114" s="234"/>
    </row>
    <row r="115" spans="2:13" ht="12.75">
      <c r="B115" s="52"/>
      <c r="C115" s="56"/>
      <c r="D115" s="54"/>
      <c r="E115" s="738"/>
      <c r="F115" s="42"/>
      <c r="G115" s="42"/>
      <c r="H115" s="42"/>
      <c r="I115" s="42"/>
      <c r="J115" s="748" t="s">
        <v>228</v>
      </c>
      <c r="K115" s="42"/>
      <c r="L115" s="42"/>
      <c r="M115" s="234"/>
    </row>
    <row r="116" spans="2:13" ht="12.75" customHeight="1">
      <c r="B116" s="52"/>
      <c r="C116" s="741"/>
      <c r="D116" s="745"/>
      <c r="E116" s="252"/>
      <c r="F116" s="252"/>
      <c r="G116" s="742"/>
      <c r="H116" s="252"/>
      <c r="I116" s="252"/>
      <c r="J116" s="754" t="s">
        <v>236</v>
      </c>
      <c r="K116" s="743"/>
      <c r="L116" s="754" t="s">
        <v>238</v>
      </c>
      <c r="M116" s="234"/>
    </row>
    <row r="117" spans="2:13" ht="12.75">
      <c r="B117" s="52"/>
      <c r="C117" s="744"/>
      <c r="D117" s="252"/>
      <c r="E117" s="252"/>
      <c r="F117" s="252"/>
      <c r="G117" s="252"/>
      <c r="H117" s="252"/>
      <c r="I117" s="252"/>
      <c r="J117" s="870" t="s">
        <v>64</v>
      </c>
      <c r="K117" s="739">
        <f>E111</f>
        <v>0.15</v>
      </c>
      <c r="L117" s="739">
        <f>E46</f>
        <v>0.2</v>
      </c>
      <c r="M117" s="234"/>
    </row>
    <row r="118" spans="2:13" ht="12.75">
      <c r="B118" s="52"/>
      <c r="C118" s="42"/>
      <c r="D118" s="42"/>
      <c r="E118" s="42"/>
      <c r="F118" s="42"/>
      <c r="G118" s="42"/>
      <c r="H118" s="42"/>
      <c r="I118" s="42"/>
      <c r="J118" s="871"/>
      <c r="K118" s="40" t="s">
        <v>229</v>
      </c>
      <c r="L118" s="749" t="s">
        <v>230</v>
      </c>
      <c r="M118" s="234"/>
    </row>
    <row r="119" spans="2:13" ht="12.75">
      <c r="B119" s="52"/>
      <c r="C119" s="232"/>
      <c r="D119" s="42"/>
      <c r="E119" s="42"/>
      <c r="F119" s="42"/>
      <c r="G119" s="42"/>
      <c r="H119" s="42"/>
      <c r="I119" s="42"/>
      <c r="J119" s="43" t="s">
        <v>31</v>
      </c>
      <c r="K119" s="740">
        <f>D48-'Авто с субсидированием'!F25</f>
        <v>0.1017</v>
      </c>
      <c r="L119" s="740">
        <f>E48-'Авто с субсидированием'!F25</f>
        <v>0.11170000000000001</v>
      </c>
      <c r="M119" s="234"/>
    </row>
    <row r="120" spans="2:13" ht="12.75">
      <c r="B120" s="236"/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238"/>
    </row>
    <row r="121" spans="4:6" ht="12.75">
      <c r="D121" s="503"/>
      <c r="E121" s="503"/>
      <c r="F121" s="503"/>
    </row>
    <row r="122" spans="4:6" ht="12.75">
      <c r="D122" s="648"/>
      <c r="E122" s="648"/>
      <c r="F122" s="503"/>
    </row>
    <row r="123" spans="4:6" ht="12.75">
      <c r="D123" s="503"/>
      <c r="E123" s="503"/>
      <c r="F123" s="503"/>
    </row>
    <row r="124" spans="4:6" ht="12.75">
      <c r="D124" s="503"/>
      <c r="E124" s="503"/>
      <c r="F124" s="503"/>
    </row>
    <row r="125" spans="4:6" ht="12.75">
      <c r="D125" s="503"/>
      <c r="E125" s="503"/>
      <c r="F125" s="503"/>
    </row>
    <row r="126" spans="4:6" ht="12.75">
      <c r="D126" s="503"/>
      <c r="E126" s="503"/>
      <c r="F126" s="503"/>
    </row>
    <row r="127" spans="4:6" ht="12.75">
      <c r="D127" s="503"/>
      <c r="E127" s="503"/>
      <c r="F127" s="503"/>
    </row>
  </sheetData>
  <sheetProtection password="CE1C" sheet="1" objects="1" scenarios="1"/>
  <mergeCells count="45">
    <mergeCell ref="J117:J118"/>
    <mergeCell ref="C111:C112"/>
    <mergeCell ref="J111:J112"/>
    <mergeCell ref="P88:P89"/>
    <mergeCell ref="P95:P96"/>
    <mergeCell ref="I95:I96"/>
    <mergeCell ref="F95:G95"/>
    <mergeCell ref="C95:C96"/>
    <mergeCell ref="S95:T95"/>
    <mergeCell ref="P32:P33"/>
    <mergeCell ref="P74:P75"/>
    <mergeCell ref="S74:T74"/>
    <mergeCell ref="V74:V75"/>
    <mergeCell ref="C74:C75"/>
    <mergeCell ref="V5:V6"/>
    <mergeCell ref="P12:P13"/>
    <mergeCell ref="V12:V13"/>
    <mergeCell ref="V67:V68"/>
    <mergeCell ref="V25:V26"/>
    <mergeCell ref="V32:V33"/>
    <mergeCell ref="P67:P68"/>
    <mergeCell ref="P25:P26"/>
    <mergeCell ref="P5:P6"/>
    <mergeCell ref="C25:C26"/>
    <mergeCell ref="C45:C47"/>
    <mergeCell ref="C67:C68"/>
    <mergeCell ref="I67:I68"/>
    <mergeCell ref="C52:C54"/>
    <mergeCell ref="I52:I54"/>
    <mergeCell ref="P45:P47"/>
    <mergeCell ref="C5:C6"/>
    <mergeCell ref="I12:I13"/>
    <mergeCell ref="F74:G74"/>
    <mergeCell ref="I74:I75"/>
    <mergeCell ref="I88:I89"/>
    <mergeCell ref="C88:C89"/>
    <mergeCell ref="I5:I6"/>
    <mergeCell ref="C12:C13"/>
    <mergeCell ref="I25:I26"/>
    <mergeCell ref="I32:I33"/>
    <mergeCell ref="C32:C33"/>
    <mergeCell ref="V45:V47"/>
    <mergeCell ref="P52:P54"/>
    <mergeCell ref="V52:V54"/>
    <mergeCell ref="I45:I47"/>
  </mergeCells>
  <printOptions/>
  <pageMargins left="0.58" right="0.23" top="0.21" bottom="0.18" header="0.17" footer="0.17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KazakovaJS</dc:creator>
  <cp:keywords/>
  <dc:description/>
  <cp:lastModifiedBy>reception</cp:lastModifiedBy>
  <cp:lastPrinted>2011-02-08T17:56:16Z</cp:lastPrinted>
  <dcterms:created xsi:type="dcterms:W3CDTF">2006-11-08T08:15:05Z</dcterms:created>
  <dcterms:modified xsi:type="dcterms:W3CDTF">2011-04-22T10:19:16Z</dcterms:modified>
  <cp:category/>
  <cp:version/>
  <cp:contentType/>
  <cp:contentStatus/>
</cp:coreProperties>
</file>